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60" windowWidth="15135" windowHeight="5580" tabRatio="711" activeTab="0"/>
  </bookViews>
  <sheets>
    <sheet name="Pag inicio" sheetId="1" r:id="rId1"/>
    <sheet name="1. Instructivo Diligenciamiento" sheetId="2" r:id="rId2"/>
    <sheet name="2. Proyecciones NNA_2010" sheetId="3" r:id="rId3"/>
    <sheet name="3. Gestión" sheetId="4" r:id="rId4"/>
    <sheet name="4. Presupuesto rv" sheetId="5" r:id="rId5"/>
  </sheets>
  <definedNames>
    <definedName name="_xlnm._FilterDatabase" localSheetId="4" hidden="1">'4. Presupuesto rv'!$A$4:$AC$178</definedName>
    <definedName name="_xlnm.Print_Area" localSheetId="4">'4. Presupuesto rv'!$B$1:$AB$178</definedName>
    <definedName name="_xlnm.Print_Titles" localSheetId="4">'4. Presupuesto rv'!$2:$4</definedName>
  </definedNames>
  <calcPr fullCalcOnLoad="1"/>
</workbook>
</file>

<file path=xl/comments5.xml><?xml version="1.0" encoding="utf-8"?>
<comments xmlns="http://schemas.openxmlformats.org/spreadsheetml/2006/main">
  <authors>
    <author>gpvillegas</author>
    <author>mcgarcia</author>
  </authors>
  <commentList>
    <comment ref="K105" authorId="0">
      <text>
        <r>
          <rPr>
            <sz val="8"/>
            <color indexed="10"/>
            <rFont val="Tahoma"/>
            <family val="2"/>
          </rPr>
          <t>SDS. Por modificaciones presupuestales de acuerdo con las necesidades del poryecto se da una variación entre los recursos programados y el presupuesto vigente.</t>
        </r>
        <r>
          <rPr>
            <sz val="9"/>
            <rFont val="Tahoma"/>
            <family val="2"/>
          </rPr>
          <t xml:space="preserve">
</t>
        </r>
      </text>
    </comment>
    <comment ref="K106" authorId="0">
      <text>
        <r>
          <rPr>
            <sz val="8"/>
            <color indexed="10"/>
            <rFont val="Tahoma"/>
            <family val="2"/>
          </rPr>
          <t>SDS. Por modificaciones presupuestales de acuerdo con las necesidades del poryecto se da una variación entre los recursos programados y el presupuesto vigente.</t>
        </r>
      </text>
    </comment>
    <comment ref="M74" authorId="1">
      <text>
        <r>
          <rPr>
            <b/>
            <sz val="8"/>
            <rFont val="Tahoma"/>
            <family val="0"/>
          </rPr>
          <t>mcgarcia:</t>
        </r>
        <r>
          <rPr>
            <sz val="8"/>
            <rFont val="Tahoma"/>
            <family val="0"/>
          </rPr>
          <t xml:space="preserve">
ANTES 957</t>
        </r>
      </text>
    </comment>
    <comment ref="L87" authorId="0">
      <text>
        <r>
          <rPr>
            <sz val="8"/>
            <color indexed="10"/>
            <rFont val="Tahoma"/>
            <family val="2"/>
          </rPr>
          <t>SDS: Mediante traslado presupuestal se modifica el valor inicial con el fin de continuar  durante el año 2010  las estrategias del programa a nivel local entre las cuales se encuentran: estrategia extramural, seguimiento al sistema de información, capacitación   y actualización en PAI a las auxiliares de vacunación, jornadas masivas de vacunación, seguimiento a cumplimiento de metas en IPS, horarios extendidos y seguimiento a cohortes.</t>
        </r>
        <r>
          <rPr>
            <b/>
            <sz val="9"/>
            <rFont val="Tahoma"/>
            <family val="2"/>
          </rPr>
          <t xml:space="preserve">
</t>
        </r>
        <r>
          <rPr>
            <sz val="9"/>
            <rFont val="Tahoma"/>
            <family val="2"/>
          </rPr>
          <t xml:space="preserve">
martha cambia el 9 por el 4</t>
        </r>
      </text>
    </comment>
    <comment ref="K88" authorId="0">
      <text>
        <r>
          <rPr>
            <b/>
            <sz val="9"/>
            <color indexed="10"/>
            <rFont val="Tahoma"/>
            <family val="2"/>
          </rPr>
          <t>SDS De acuerdo al correo enviado por la Dra azucena a la Dra Martha se requiere precisar eata cifra programada la cual queda en $14.015 millones</t>
        </r>
        <r>
          <rPr>
            <sz val="9"/>
            <rFont val="Tahoma"/>
            <family val="2"/>
          </rPr>
          <t xml:space="preserve">
</t>
        </r>
      </text>
    </comment>
    <comment ref="Q102" authorId="0">
      <text>
        <r>
          <rPr>
            <b/>
            <sz val="9"/>
            <rFont val="Tahoma"/>
            <family val="2"/>
          </rPr>
          <t xml:space="preserve">SDS: </t>
        </r>
        <r>
          <rPr>
            <sz val="9"/>
            <rFont val="Tahoma"/>
            <family val="2"/>
          </rPr>
          <t>En la nota aclaratoria se presenta la justificación de la disminución de la población respecto al mes anteriror.</t>
        </r>
      </text>
    </comment>
  </commentList>
</comments>
</file>

<file path=xl/sharedStrings.xml><?xml version="1.0" encoding="utf-8"?>
<sst xmlns="http://schemas.openxmlformats.org/spreadsheetml/2006/main" count="2511" uniqueCount="1077">
  <si>
    <t>Durante el segundo trimestre de 2010, se mantuvo la atención de la línea amiga de las niñas, niños y adolescentes 106, durante 15 horas, de domingo a domingo 7 días a la semana, para lo cual se dispusó de la infraestructura necesaria que garantizará la respuesta durante este tiempo, a traves de medios en chat, línea telefónica,  servicios de preguntas y respuestas a través de la página WEB: www.saludcapital.gov.co, enlace a linea106, con la consecuente atención integral y seguimiento de casos de maltrato y violencia intrafamiliar, como componente de la promoción de la salud mental</t>
  </si>
  <si>
    <t>Durante el segundo trimestre se mantuvieron los  438 grupos promotores,  a  través de los cuales se beneficiaron  directamente 8.679 niños, niñas y adolescentes escolarizados con procesos de formación en derechos, salud mental y línea 106, quienes promoverán salud mental al interior de las comunidades educativas, a partir de la estrategia de la línea 106.  
Así mismo, se capacitaron1.138 docentes, 1.776 padres de familia  y 7.842 estudiantes   en   habilidades sociales. [Últimos datos preliminares disponibles en el Sistema de Información de la Entidad con corte a 30 de junio de 2010].</t>
  </si>
  <si>
    <t>Se alcanzó un 3.15 %  en la cobertura del Programa de Salud Oral</t>
  </si>
  <si>
    <t>Durante el segundo  trimestre se alcanza un 3.15 %  en la cobertura del Programa de Salud Oral (flúor, sellantes, control de placa y detartraje) en la población afiliada a los regímenes subsidiado y contributivo.</t>
  </si>
  <si>
    <t>A través de este proyecto  el PDA de salud oral, aborda colegios distritales y jardines infantiles; implementando acciones promoción en salud oral en 3.270 cursos de las IED, con un reporte de 99.529 escolares de los cuales el 52% son niños y el 48% niñas. Nota: Se precisa que la disminución de la población se debe al retiro de niños y niñas de las instituciones antes de culminar el periodo escolar.
En jardines infantiles, las acciones de salud oral son la línea 17 de la estartegia AIEPI, lo que ha fortalecido el trabajo con las docentes y los padres de familia en el cotidiano de los niños y niñas. Se estima una población directa e indirectamente beneficiaria de 36.078, compuesta por niños, niñas, padres de familia y otro miembro de la familia, es decir un promedio de 2.5 personas son beneficiadas.
La información mencionada es de los informes pre-liminares reportada por los hospitales. [Ultimos datos preliminares disponibles en el sistema de información de la entidad con corte a 30 de junio de 2010].</t>
  </si>
  <si>
    <t>Se cubrieron el 100% de las instituciones programadas.</t>
  </si>
  <si>
    <t>Durante el segundo  trimestre se mantuvo la cobertura en las  58 instituciones para la atención de menores en protección con la estrategia de gestión y acción en salud pública.</t>
  </si>
  <si>
    <t>Durante el segundo  trimestre se beneficiaron 3.054  niños, niñas y adolescentes que se encuentran bajo medida de protección por el ICBF. [Última cifra preliminar disponible en el sistema de información de la entidad con corte a 30  de junio]. Nota Aclaratoria:  Se precisa que la cifra puede variar teniendo en cuenta que los niños, niñas y adolescentes que se encuentran bajo medida de protección del ICBF son reintegrados a su grupo familiar constantemente, razón por la cual la población beneficiaria es flotante.</t>
  </si>
  <si>
    <t xml:space="preserve">Se alcanzó el 100% </t>
  </si>
  <si>
    <t>Durante el segundo trimestre de 2010 se aumentó a 60%  la población mayor de 13 años que practica alguna actividad física de forma habitual. Se posicionaron las estrategias definidas de promoción de la actividad física, a través del cumplimiento de  acciones en las 345 sedes educativas establecidas como meta. [Ultima cifra preliminar disponible en el sistema de información de la entidad con corte al 30 de junio de 2010].</t>
  </si>
  <si>
    <t>Durante el segundo trimestre se beneficiaron 16.167 personas de la comunidad educativa con las estrategias que se  implementan en función de promover la actividad física en la población mayor de 13 años. [Ultimos datos preliminares disponibles en el sistema de información de la entidad con corte a 30 de junio de 2010].</t>
  </si>
  <si>
    <t>Para el segundo  trimestre las estrategias de atención materno infantil AIEPI, IAMI y IAFI infantil AIEPI, IAMI y IAFI, se implementaron en un 61.5% de las Empresas Sociales del Estado adscritas a la SDS</t>
  </si>
  <si>
    <t>Para el segundo  trimestre las estrategias de atención materno infantil AIEPI, IAMI y IAFI infantil AIEPI, IAMI y IAFI, se implementaron en un 61.5% de las Empresas Sociales del Estado adscritas a la SDS. Para implementar esta estrategia a través del proyecto, las ESE realizan acompañamiento, asesoría y capacitación a los Jardines Infantiles de la SDIS. Durante el primer trimestre, los profesionales de las ESE capacitaron   581 docentes en las Estrategias AIEPI -IAMI -ERA y   realizaron 31  visitas de acompañamiento y asesoría.</t>
  </si>
  <si>
    <t>Se beneficiaron a 22.989 niños y niñas usuarios de los servicios de los Jardines SDIS, ICBF y Jardines privados. [Última información preliminar disponible en el sistema de información de la entidad con corte a 30 de junio de 2010].</t>
  </si>
  <si>
    <t>Se implementaron las estrategias en el 61.5%  de las Empresas Sociales del Estado adscritas a la SDS,</t>
  </si>
  <si>
    <t>En el 61.5%  de las Empresas Sociales del Estado adscritas a la SDS,  se implementaron  las estrategias de atención materno infantil AIEPI, IAMI y IAFI infantil AIEPI, IAMI y IAFI.</t>
  </si>
  <si>
    <t>Para lograr implementar las estrategias en las ESE,  durante el segundo trimestre se  desarrollaron procesos de inducción y capacitación a profesionales y técnicos, llegando a 383 funcionarios. Así mismo, en el proceso de fortalecimiento de talento humano se capacitaron  85  médicos, 81 enfermeras, 15 nutricionistas 7 terapeutas   y 117 auxiliares de enfermería. Igualmente se trabaja en los seguimientos específicos a cada una de la IPS, en el que se verifican insumos, procesos de atención a niños niñas y madres gestantes y se realizan 136 visitas de asesoría y seguimiento a los puntos de atención  [Última cifra preliminar disponible en el sistema de información de la entidad con corte a 30 de junio].</t>
  </si>
  <si>
    <t>Nota técnica aclaratoria: Dado que el cálculo del indicador [tasa de bajo peso al nacer requiere de datos oficiales, los cuelas son suministrados por el DANE anualmente al finalizar cada vigencia, no es posible calcular el % de gestión en periodos diferentes a un año.</t>
  </si>
  <si>
    <t xml:space="preserve">Durante  el segundo  trimestre de 2010 se presentaron 6.453  casos de bajo peso al nacer. Durante el mismo período de 2009, se registraron 6.015 presentándose un aumento de 438, este aumento se debe a que durante el 2009 se presentaron 49.422 nacimientos mientras que este año para el mismo periodo se han presentado 52.691 nacidos vivos.  [Última información preliminar disponible en el sistema de información de la entidad con corte a 30 de junio de 2010].
Nota: El incremento en la apropiación definitiva se debe a una modificación presupuestal de acuerdo con las necesidades del proyecto  </t>
  </si>
  <si>
    <t>Se realiza un trabajo articulado para el desarrollo de acciones en la captación efectiva a mujeres gestantes con los referentes de estrategias. A junio de 2010 se han abordado 1.311 mujeres gestantes, en  temas relacionados con los cuidados prenatales [Alimentación, asistencia a controles, preparación para la lactancia materna] y se  canalizaron a los servicios de salud  77 mujeres que no estaban asistiendo a los controles prenatales.  [Ultimas cifras preliminares disponibles en el sistema de información de la entidad con corte a 31 de mayo de 2010].
Nota aclaratoria: La apropiación inicial se modifico mediante traslado presupuestal arpobado por las instancias competentes.</t>
  </si>
  <si>
    <t>Las estrategias se implementaron  en el 61.5% de las Empresas Sociales del Estado adscritas a la SDS</t>
  </si>
  <si>
    <t xml:space="preserve">En el segundo trimestre se implemento en el 61.5% de las Empresas Sociales del Estado adscritas a la SDS las estrategias de atención materno infantil AIEPI, IAMI y IAFI infantil AIEPI, IAMI y IAFI.
Con el propósito de lograr que las familias mejoren las prácticas de cuidado de la población infantil, las Empresas Sociales del Estado adelantan acciones de captación oportuna de la gestante y apoyo a las mujeres lactantes beneficiando durante el segundo trimestre a  740 gestantes, 542 lactantes, 7.662 niños y niñas menores de cinco años y se han visitado 6.322 familias. 
Nota: El incremento en la apropiación definitiva se debe a una modificación presupuestal de acuerdo con las necesidades del proyecto  </t>
  </si>
  <si>
    <t xml:space="preserve">Como resultado de la gestión se verificó o completó el esquema de vacunación a 3.370 niños y niñas menores de 5 años, 99 niños y niñas menores de 6 meses con lactancia exclusiva, 804  con adecuada alimentación complementaria, 53  espacios sanos y seguros [de estos siete hogares modificaron algunos factores de riesgo de accidentalidad], 52 promoción de buen trato, 1.448 niños y niñas remitidos a  consulta de crecimiento y desarrollo, 462  actividades educativas a población en general con la participación de 918 asistentes, 57 actividades educativas en ERA con 1.169 participantes y 35 actores sociales vinculados en el proceso activos y con plan de trabajo concertado.
[Últimas cifras preliminares disponibles en el sistema de información de la entidad con corte a 30 de junio de 2010]. </t>
  </si>
  <si>
    <t>Durante el primer trimestre se monitoreó la desnutrición global en un 25% de los niños y niñas menores de 5 años, respecto del 100%</t>
  </si>
  <si>
    <t>Durante el segundo  trimestre se monitoreó la desnutrición global en un 50% de los niños y niñas menores de 5 años, respecto del 100% programado para el año. Se precisa que esta acción de monitoreo se complementa a través de los proyectos 624 y 626 mediante acciones de suplementación con vitamina A y sulfato ferroso dirigidas a niños y niñas menores de 5 años y menores de 12 años.</t>
  </si>
  <si>
    <t xml:space="preserve">Durante el segundo trimestre ingresaron al Sistema de Vigilancia Alimentaria y Nutricional [SISVAN], 102.946 menores de cinco años. A estos niños, se les realizó monitoreo permamente sobre sus condiciones nutricionales, encontrándose que en 8.685 se registraron con desnutrición global [Ultima cifra preliminar disponible en el sistema de información de la entidad con corte a 31 de mayo de 2010.]. </t>
  </si>
  <si>
    <t xml:space="preserve">Durante  el segundo  trimestre de 2010 se presentaron 6.453  casos de bajo peso al nacer. Durante el mismo período de 2009, se registraron 6.015 presentándose un aumento de 438, este aumento se debe a que durante el 2009 se presentaron 49.422 nacimientos mientras que este año para el mismo periodo se han presentado 52.691 nacidos vivos.  [Última información preliminar disponible en el sistema de información de la entidad con corte a 30 de junio de 2010].
</t>
  </si>
  <si>
    <t>Durante el segundo  trimestre de 2010 se cubrieron 6.453 niños y niña, quienes presentaron bajo peso al nacer y fueron canalizados a programas de plan canguro, crecimiento y desarrollo y a intervenciones de apoyo alimentario y nutricional del Distrito Capital.   [Última cifra preliminar disponible en el sistema de información de la entidad con corte a 30 de junio].</t>
  </si>
  <si>
    <t>Se presenta asesoría y asistencia técnica  al 100% de las IPS</t>
  </si>
  <si>
    <t>En el segundo  trimestre se encontraron 6 casos de VIH positivo de los cuales ninguno se presentó en gestantes menores de 18 años.  [Última cifra preliminar disponible en el Laboratorio Centralizado de VIH SDS con corte a 31 de mayo de 2010]</t>
  </si>
  <si>
    <t>Durante el segundo trimestre se tamizaron 9.025 gestantes, de los cuales 3 casos han resultado positivos, ninguno corresponde a menores de 18 años. [Última cifra preliminar disponible en el Laboratorio Centralizado de VIH SDS con corte a 30 de junio de 2010]</t>
  </si>
  <si>
    <t>Durante  el segundo  trimestre se aumentó en 2% la denuncia de violencia intrafamiliar y violencia sexual, de acuerdo con los registros del Sistema de Vigilancia Epímdemiológica de la Violencia Intrafamiliar [SIVIM], a partir de una línea de base de 14.870 casos.</t>
  </si>
  <si>
    <t>Las acciones desarrolladas en el ámbito escolar, permitieron  que 1.330 miembros de la comunidad educativa [directivos, docentes y padres de familia] pertenecientes a 414 sedes implementaran la intervención en colegios protectores y activos frente a las violencias. El proceso de colegios protectores y activos  tiene un fuerte énfasis en  el trabajo con los adultos responsables de lograr que el colegio se convierta en un espacio protector para los niños, las niñas, los adolescentes, los directivos, el personal administrativo y los padres de familia; razón por la que los indicadores y las cifras dan cuenta de la población adulta y la  población infantil indirecta. [Última información preliminar disponible en el sistema de información de la entidad con corte a 30 de junio de 2010].</t>
  </si>
  <si>
    <t>La tasa definitiva  de trabajo infantil es un dato oficial que entrega el Departamento Administrativo Nacional de Estadística [DANE] cada dos años. Se está a la espera de que remita resultados oficiales preliminares de 2009; razón por la cual no se puede reportar un %de gestión respecto a la meta programada.</t>
  </si>
  <si>
    <t>Durante el segundo trimestre de 2010, se pusieron en marcha 16 planes de acción intersectorial con cubrimiento en las veinte localidades del Distrito validados para la prevención y erradicación del trabajo infantil con avance de su implementación en un 35%</t>
  </si>
  <si>
    <t xml:space="preserve"> Si bien, se llevaron a cabo  las actividades programadas a ser desarrolladas por el Proyecto de Inversión, para el cumplimiento de la meta, por ser de impacto, a la fecha no se encuentra disponible, ni la tasa de trabajo infantil, ni la población beneficiada con las actividades, debido a que está en proceso de consolidación. De otra parte, las mesas locales para la prevención y erradicación del trabajo infantil como componente del comité de infancia y adolescencia son las responsables de definir e implementar rutas interinsitucionales que garantizan la desvinculación de los niños y niñas del trabajo. A junio 30 de 2010 se han desvinculado del trabajo 126 niños niñas y adolescentes desvinculados del trabajo a través de la gestión que adelanta la Secretaría de Salud. [Última información preliminar disponible en el sistema de información de la entidad con corte a 30 de junio de 2010].</t>
  </si>
  <si>
    <t>Nota técnica aclaratoria: Dado que el cálculo del indicador [tasa de mortalidad] requiere de datos oficiales, los cuelas son suministrados por el DANE anualmente al finalizar cada vigencia, no es posible calcular el % de gestión en periodos diferentes a un año.</t>
  </si>
  <si>
    <t xml:space="preserve">A junio   30 de 2010, se presentaron 601  casos de mortalidad infantil, frente a 692 casos en el mismo periodo 2009 y a 760 casos para el 2008. En total se registró una disminución de 91 casos respecto a la vigencia 2009  y de 110 casos respecto al 2008. [Ultimas cifras preliminares disponibles en el sistema de información de la entidad con corte a  30 de junio de 2010]. Se precisa que estas cifras no son definitivas, son las últimas preliminares del trimestre de las cuales dispone en el Sistema de Estadisticas Vitales de la Secretaría Distrital de Salud de Bogotá D.C., las cuales  en la actualidad se encuentran en proceso de revisión, análisis y depuración.
Nota aclaratoria: Los recursos de afiliación a esta población, se ejecutan a tráves de las metas de afiliacion al Regimen Subsidiado y continuidad </t>
  </si>
  <si>
    <t>Durante el segundo trimestre se beneficiarion 12.875 niños y niñas menores de un año afiliados al Regimen Subsidiado. [Fuente:Base de datos única de afiliados con novedades con corte a 16  de junio de 2010. Ministerio de la Protección Social]. 
Nota Aclaratoria:  Se presenta una disminución en cuanto a la población beneficiada respecto a lo reportado el trimestre anterior debido a  las medidas adoptadas por el Ministerio de la Protección Social en cuanto al instrumento para el calculo de la población a contratar la cual se determina por base de datos BDUA y no con maestro de afiliados que era la anterior base para el cálculo. [El número de afiliados en esta base es inferior, motivo por el cual se esta trabajando con el Ministrio de la protección Social con el próposito de estandarizar las dos bases]
Lo anterior, teniendo en cuenta el acuerdo 415 de Seguridad Social y las resoluciones de asignación de recursos para la presente vigencia por parte del Ministerio de la Protección Social, así como, la falta de actualización de datos por parte de los afiliados cuando se encuentran en debidos procesos.</t>
  </si>
  <si>
    <t>El porcentaje de ejecución es de 61.65%, teniendo en cuenta que la meta se refiere a nuevos ciudadanos afiliados.</t>
  </si>
  <si>
    <t>59.724 nuevos niños niñas y adolescentes afiliados al Régimen Subisdiado. Nota aclaratoria: Se precisa que no es posible discriminar los recursos destinados para niños, niñas y adolescentes, de manera exacta, debido a que los nuevos ciudadanos que se podrán afiliar, ingresan mediante el proceso de libre elección, en el cual no se sabe a priori el grupo etáreo de la población susceptible de afiliación y los recursos ejecutados o a ejecutar. Los recursos que se invierten en el régimen subsidiado resultan de multiplicar la Unidad percápita de Régimen Subsidiado [UPC-S] por los afiliados.  Se precisa que la cifra reportada sobre ejecución financiera es preliminar y está en proceso de revisión por parte de la Dirección de Aseguramiento en Salud.</t>
  </si>
  <si>
    <t>Durante el segundo  trimestre de 2010 se han afiliado 154.143 Bogotanos y Bogotanas al Régimen Subsidiado del Distrito Capital, de los cuales 29.525 son niños y niñas de 0-5 años; 20.031 son niños y niñas de 6-13 años y 10.168 adolescentes de 14 a17 años, para un total de afiliación de 59.724  nuevos niños niñas y adolescentes. Se precisa que de estos niños, niñas y adolescentes 4.236 se encuentran en situación de desplazamiento. [Última información preliminar disponible en el sistema de información de la entidad con corte a 30 de junio de 2010]</t>
  </si>
  <si>
    <t>El porcentaje de ejecución es de 81.66%, teniendo en cuenta que la meta se refiere a continuidad de 1.708.670  ciudadanos afiliados.</t>
  </si>
  <si>
    <t>Se garantizó la continuidad a 483.218 niños niñas y adolescentes afiliados al régimen subsidiado
Nota Aclaratoria: Teniendo en cuenta lo establecido en el proyecto de acuerdo No 11 del 29 de enero de 2010 emitido por la Comisión de Regulación en Salud Parágrafo del Artículo 4 "la UPC-S parcial aplica para personas de 18 y más", razón por la cual no aplica los subsidios parciales  para infancia y adolescencia.</t>
  </si>
  <si>
    <t xml:space="preserve">Durante el segundo trimestre se garantizo la continunidad en la afiliación a: 109.972 niños y niñas de 0-5 años, 217.524 niños y niñas de  6-13 años y 122.433 adolescentes de 14 a 17 años para un total de 449.929 niños niñas y adolescentes.  [Última información preliminar disponible en el sistema de información de la entidad con corte a 30 de junio de 2010]
Nota Aclaratoria:  Se presenta una disminución en cuanto a la población beneficiada respecto a lo reportado el trimestre anterior debido a  las medidas adoptadas por el Ministerio de la Protección Social en cuanto al instrumento para el calculo de la población a contratar la cual se determina por base de datos BDUA y no con maestro de afiliados que era la anterior base para el cálculo. (El número de afiliados en esta base es inferior, motivo por el cual se esta trabajando con el Ministrio de la protección Social con el próposito de estandarizar las dos bases)
Lo anterior, teniendo en cuenta el acuerdo 415 de Seguridad Social y las resoluciones de asignación de recursos para la presente vigencia por parte del Ministerio de la Protección Social, así como, la falta de actualización de datos por parte de los afiliados cuando se encuentran en debidos procesos. </t>
  </si>
  <si>
    <t>Nota técnica aclaratoria: Dado que el cálculo del indicador (tasa de mortalidad materna)requiere de datos oficiales, los cuelas son suministrados por el DANE anualmente al finalizar cada vigencia, no es posible calcular el % de gestión en periodos diferentes a un año.</t>
  </si>
  <si>
    <t>Para el año 2010 no se programan recursos para la gestión de nuevos cupos en jardines infantiles. El sostenimiento de los 12,000 cupos esta incorporada en la meta de Atender 50.301 cupos de educación inicial.</t>
  </si>
  <si>
    <t>No se tiene en cuenta</t>
  </si>
  <si>
    <t>Informados y sensibilizados 18.452 niñas, niños y adolescentes en temas relacionados con sus derechos.</t>
  </si>
  <si>
    <t>Se realiza a través de eventos masivos y emisiones radiales donde no se recoge información de variables específicas (edad y sexo).</t>
  </si>
  <si>
    <t>Se han realizado acciones de fortalecimiento para 14 consejos locales de niños y niñas.</t>
  </si>
  <si>
    <t>47.677 cupos de apoyos  alimentarios a niñas, niños  en inseguridad alimentaria y nutricional, donde se atienden 48,870 niñas y niños de los jardines infantiles, presentándose un índice de rotación de 1,02,
1.418 apoyos alimentarios entregados a niñas y niños en 1.180 cupos de los Centros Crecer. (son los mismos niños tenidos en cuenta en una meta anterior del proyecto infancia y adolescencia feliz y protegida integralmente.</t>
  </si>
  <si>
    <t>JARDINES INFANTILES
0-5 AÑOS 
HOMBRES: 24.776 MUJERES: 22.676
6-13 AÑOS: 
HOMBRES: 422   MUJERES: 214
14-17 AÑOS:
HOMBRES: 424   MUJERES: 254
18-26 AÑOS
HOMBRES: 47    MUJERES: 57</t>
  </si>
  <si>
    <t>8.407 de bonos de apoyo alimentario a mujeres gestantes y lactantes con gestaciones únicas entregados
99 de bonos apoyo alimentario a mujeres gestantes y lactantes con gestaciones múltiples entregados
1.325  de bonos complementarios a la mujer gestante con bajo peso y a madres con hijos-as nacidos-as con bajo peso entregados.
Dichos bonos son entregados de manera mensual, beneficiando a 20,345 personas.  La meta esta determinada en número de bonos, pero se benefician son mujeres.</t>
  </si>
  <si>
    <t>MUJERES
6-13 AÑOS: 38
14-17 AÑOS: 4.004
18-26 AÑOS: 11.244
27-59 AÑOS 5.053
60 AÑOS O MAS: 6</t>
  </si>
  <si>
    <t>44.424 de NNA atendidos en los comedores comunitarios
13.059 de NNA atendidos a través del servicio de canastas complementarias</t>
  </si>
  <si>
    <t>0-5 AÑOS:
HOMBRES: 3.324 
MUJERES: 3.376
6-13 AÑOS
HOMBRES: 18.647 MUJERES 18.348
14-17 AÑOS: 
HOMBRES: 6.988 
MUJERES: 6.800</t>
  </si>
  <si>
    <t xml:space="preserve">1. Realizados a 4 equipamientos de primera infancia de la SDIS Reforzamiento estructural y remodelación.
2. Realizadas obras de mantenimiento preventivo y correctivo a 116 equipamientos de atención a infancia y adolescencia.
3. Prestados los servicios de vigilancia en 232 equipamientos de atención a niños - as 
4. Prestados los servicios de Aseo, cafetería y preparación de alimentos en 101 equipamientos de atención a niños - as </t>
  </si>
  <si>
    <t>34.354 niños y niñas en jardines Infantiles, con servicios de vigilancia, aseo y preparación de alimentos. 
510 cupos de atención a niños y niñas de educación inicial por obras de remodelación y actualización sismoresistente</t>
  </si>
  <si>
    <t xml:space="preserve">Atendidas 95.215 familias con derechos vulnerados a través de acceso a la justicia familiar y social,  promoción y restitución de derechos </t>
  </si>
  <si>
    <t>La poblacion se encuentra en proceso de caracterización</t>
  </si>
  <si>
    <t>Atendidas 410 denuncias de delitos sexuales.
Atendidas 30,848 demandas por violencia intrafamiliar en Comisarías de Familia</t>
  </si>
  <si>
    <t>Demandas VIF:                                                            
0-5: Niños: 450 Niñas: 579               
6-13: Niños: 583  Niñas: 575         
14-17:  Niñas: 841        
Del total de demandas atendidas, es decir, de las 30,848 demandas por violencia intrafamiliar, se atienden solamente 30,28 niñas, niños y adolescentes. Las demás denuncias corresponden a personas mayores.
Denuncias Abuso:                 
 0-5: Niños: 34 Niñas:75               
6-13:  Niños: 29 Niñas: 160         
14-17:  Niños: 9  Niñas 73 
Del total de las 410 denuncias de delitos sexuales, solamente 380 corresponden a niñas, niños y adoelscentes, las demás corresponden a personas mayores.</t>
  </si>
  <si>
    <t>Formados 11.011 padres, madres y cuidadores en atención integral  a la primera infancia y educación inicial.</t>
  </si>
  <si>
    <t>HOMBRES: 1098 MUJERES: 9913</t>
  </si>
  <si>
    <t>A la fecha no se puede caracterizar esta población.</t>
  </si>
  <si>
    <t>El Sistema de Información y Registro de Servicios Sociales –SIRSS</t>
  </si>
  <si>
    <t>Informes Específicos Convenio</t>
  </si>
  <si>
    <t>Sistema para el Registro de Asistidos IDIPRON-SPRAI</t>
  </si>
  <si>
    <t>SPRAI-Sistema para el Registro de Asistidos IDIPRON</t>
  </si>
  <si>
    <t>Los y las maestros-as se encuentran en proceso de formación, se reportan cuando finalicen el mismo.
Las actividades desarrollas se realizan con reservas.</t>
  </si>
  <si>
    <t>4 acuerdos ciudadanos para la primera infancia  firmados.
Las actividades desarrollas se realizan con reservas.</t>
  </si>
  <si>
    <t>Hombres: 227.094
Mujeres: 219.751
Ciclo 1 (0-5):  30.193
Ciclo 2 (6-13):  296.656
Ciclo 3 (14-17): 119.996</t>
  </si>
  <si>
    <t>Hombres:57.212
Mujeres: 54.968
Ciclo 1 (0-5):  7.712
Ciclo 2 (6-13):  75.093
Ciclo 3 (14-17): 29.375</t>
  </si>
  <si>
    <t>Hombres:19.903
Mujeres:18.622
Ciclo 1 (0-5): 707
Ciclo 2 (6-13): 33.951
Ciclo 3 (14-17): 3.867</t>
  </si>
  <si>
    <t>Hombres: 6.091
Mujeres: 5.698
Ciclo 1 (0-5):  0
Ciclo 2 (6-13):  5.398
Ciclo 3 (14-17): 6.391</t>
  </si>
  <si>
    <t>Hombres: 5.512
Mujeres: 5.236
Ciclo 1 (0-5):  0
Ciclo 2 (6-13):  2.245
Ciclo 3 (14-17): 8.503</t>
  </si>
  <si>
    <t>Hombres: 8.319
Mujeres: 7.994
Ciclo 1 (0-5):  650
Ciclo 2 (6-13): 10.816
Ciclo 3 (14-17): 4.847</t>
  </si>
  <si>
    <t xml:space="preserve">
SED – Dirección de Cobertura e Informes de Seguimiento del proyecto 7361
Calculos: OAP
</t>
  </si>
  <si>
    <t>SED – Dirección de Cobertura e Informes de Seguimiento del proyecto 396
Calculos: OAP</t>
  </si>
  <si>
    <t>SED – Dirección de Cobertura e Informes de Seguimiento del proyecto 557
Calculos: OAP</t>
  </si>
  <si>
    <t>SED – Dirección de Cobertura e Informes de Seguimiento del proyecto 552
Calculos: OAP</t>
  </si>
  <si>
    <t>SED – Dirección de Cobertura e Informes de Seguimiento del proyecto 260
Calculos: OAP</t>
  </si>
  <si>
    <t>SED – Dirección de Cobertura e Informes de Seguimiento del proyecto 289
Calculos: OAP</t>
  </si>
  <si>
    <t>SED – Dirección de Cobertura e Informes de Seguimiento de los proyectos 178, 195, 200, 273, 290, 559,563, 651, 1121, 4232, 4248, 7195 y 7369          
Calculos: OAP</t>
  </si>
  <si>
    <t>46,57%
100%</t>
  </si>
  <si>
    <t>50%
72%</t>
  </si>
  <si>
    <t>Durante el segundo trimestre de 2010 se monitoreó la reducción de la desnutrición global en niños menores de cinco años,  con un avance de 50% respecto del 100% programado para el año.  Esto significó seguir  avanzando en la sensibilización a padres de familia, a docentes y a niños y niñas, incluidos-as  en el proceso. Así  mismo, se avanza en la valoración médica y en la desparasitación de los niños y niñas autorizados por el médico y por el padre de familia. Algunos hospitales han iniciado la suplementación con vitamina A  y con sulfato ferroso.</t>
  </si>
  <si>
    <t>En el ámbito escolar, durante el segundo trimestre de 2010,  se adelantaron acciones encaminadas a monitorear la reducción de la desnutrición global,  en el 100% de instituciones: 160 jardines infantiles y 470 instituciones educativas. Se  avanzó con el proceso de suplementación en 12 localidades del Distrito, logrando reconocimiento y aceptación en especial por parte de la comunidad de los jardines infantiles.   Se beneficiaron a través de la suplementación 269.000 niños y niñas pertenecientes a los 160 jardines infantiles.  [Últimas cifras preliminares disponibles en el sistema de información de la SDS con corte a 30 junio de 2010].   Nota 1: Teniendo que la primera fase de este proceso  se culmina al finalizar este  semestre, no se pueden reportar el número de niños y niñas suplementados,  por lo tanto en el mes de Septiembre se podría tener un avance del numero de niños y niñas suplementados en el año 2010.</t>
  </si>
  <si>
    <t>Durante el segundo trimestre de 2010 se mantuvo en promedio en 3.1 meses de edad la lactancia materna [Se precisa que este indicador se calcula a partir de la variable de lactancia materna exclusiva en niños y niñas menores de seis meses captados por el SISVAN en los servicios de salud, en consulta de crecimiento, consulta médica y pediátrica . La información es consolidada y procesada en el aplicativo diseñado en plataforma EPI INFO obteniendo a partir de la información total la frecuencia absoluta en meses de lactancia materna exclusiva, cuya medición es anual].</t>
  </si>
  <si>
    <t>A través del SISVAN,  se identificaron  14.600 niños  para el seguimiento de la lactancia exclusiva. Así mismo durante el  mes de junio se abordan 161 jardines infantiles a través de la estrategia, de los cuales 71 son  del ICBF, 71 pertenecen a la Secretaría de Integración social y 19 son privados. De esta manera se benefician 22.989 niños y niñas entre 2 y 6 años de Edad. [Ultimas cifras preliminares disponibles en el sistema de información de la entidad con corte a 30 de junio de 2010].</t>
  </si>
  <si>
    <t>Se mantuvo en promedio en 3.1 meses de edad la lactancia materna. 66% de cumplimiento.</t>
  </si>
  <si>
    <t xml:space="preserve">A través del SISVAN,  se identificaron  14.600 niños, para el seguimiento de la lactancia exclusiva. El número de personas beneficiadas en el ámbito comunitario, durante el segundo trimestre,  se corresponden con 724 gestantes y 621 madres lactantes capacitadas. Igualmete se verificó  un total de 99 niños y niñas menores de 6 meses con lactancia exclusiva y 804 con adecuada alimentación complementaria. [Ultimas cifras preliminares disponibles en el sistema de información de la entidad con corte a 30 de junio de 2010]. </t>
  </si>
  <si>
    <t>86.5%, de niños y niñas identificados  con relación a la meta programada para el año.</t>
  </si>
  <si>
    <t>Durante el segundo  trimestre de 2010, se identificaron 3.387 niños y niñas trabajadores y trabajadoras, a quienes se les promovió la desvinculación laboral con el fin de incluirlos de manera permanente en el sistema educativo, registrándose un avance de 86.5%, con relación a la meta programada para el año.</t>
  </si>
  <si>
    <t>3.387  niños y niñas identificados como trabajadores de los cuales, 3.240 niños y niñas son trabajadores escolarizados, 147 desescolarizados, con diagnóstico de condiciones de salud y trabajo, canalizados a programas y servicios. 
Del total de niños y niñas identificados: 118 niños, niñas y sus familias se les está realizando gestión para el aseguramiento en salud de los cuales 11 ya tuvieron respuesta efectiva, 38 niños y niñas fueron canalizados al ICBF por encontrarse en una situación inminente de vulneración de derechos de los cuales ya obtuvieron respuesta positiva 21, 706 niños y niñas trabajadores fueron canalizados a proyectos locales de promoción de la desvinculación laboral de los cuales ya fueron recibidos 56, 260 niños y  niñas identificados en una peor forma de trabajo infantil canalizados a proyectos de desvinculación y 73 niños y niñas desvinculados del trabajo. Así mismo se realizaron 111 actividades de sensibilización colectiva en espacios locales para la prevención y erradicación del trabajo infantil en las cuales participaron  3.203 personas. 
Finalemente,  203 niños y niñas canalizados al CADEL para gestión de cupo escolar, de los cuales 20 ya obtuvieron cupo. 
En 116 sedes educativas se han adelantado actividades de sensibilización para la prevención de la vinculación de los niños niñas y adolescentes a peores formas de trabajo infantil.
3.116 niños, niñas y adolescentes  trabajadores han recibido la intervención complementaria de salud mental.[Ultimos datos preliminares disponibles en el sistema de información de la entidad con corte a junio 30 de 2010].</t>
  </si>
  <si>
    <t>Se seleccionaron 11 espacios equivalentes al   el 84.% de la meta programada para la vigencia fiscal.</t>
  </si>
  <si>
    <t>Durante el segundo  trimestre se seleccionaron 111  espacios locales  distintos a la escuela para el desarrollo de las actividades, alcanzando un cumplimiento de 84% con respecto a lo programado para la vigencia fiscal.</t>
  </si>
  <si>
    <t>Se sensibilizaron 3.203 personas adultas  para la prevención y erradicación del trabajo infantil [Última información preliminar disponible en el sistema de información de la entidad con corte a 30 de junio de 2010].</t>
  </si>
  <si>
    <t>Se identificó el  81.7% de adolescentes trabajadores respecto ala meta  programada para la vigencia fiscal.</t>
  </si>
  <si>
    <t>Se identificaron 1.390  adolescentes entre los 15 y 18 años como trabajadores, alcanzando un cumplimiento de 81.7% con respecto a lo programado para la vigencia fiscal.
Así mismo, se diseñaron planes de mejoramiento de las condiciones de salud y trabajo de los adolescentes cuya actividad está en la lista de actividades permitidas para ser ejecutado por los empleadores.</t>
  </si>
  <si>
    <t xml:space="preserve"> 1.390 adolescentes entre 15 y 18 años identificados como trabajadores de los cuales, 1.088 adolescentes son trabajadores escolarizados y 302  trabajadores desescolarizados, con diagnóstico de condiciones de salud y trabajo quienes fueron canalizados a programas y servicios.
159 adolescentes con generación de condiciones de trabajo protegido. 
68 adolescentes desvinculados de su actividad laboral por encontrarse en una actividad prohibida.  [Última información preliminar disponible en el sistema de información de la entidad con corte a 30 de junio de 2010]. </t>
  </si>
  <si>
    <t xml:space="preserve">El porcentaje es del 100% de los niños, niñas y adolescentes que requirieron el servicio. </t>
  </si>
  <si>
    <t xml:space="preserve">Se garantizó la cobertura en servicios no POSS y no POS al 100% de los niños, niñas y adolescentes que requirieron el servicio. </t>
  </si>
  <si>
    <t xml:space="preserve">Se atendieron 64.786 menores de 18 años, de acuerdo con el reporte parcial recibido de hospitales con fecha de corte a mayo de 2010, de los cuales 34.799  son niños y niñas entre 0 y 5 años, 16.867  niños y niñas de 6 a 13 años y  13.120  niños y niñas entre 14 y menores de 18 años.  [Última información preliminar disponible en el sistema de información de la entidad de acuerdo con el reporte generado en junio 30 de 2010].   </t>
  </si>
  <si>
    <t>El porcentaje es del 39%.</t>
  </si>
  <si>
    <t>Fueron atendidos gratuitamente 4.011 niños y niñas entre 1 y 5 años afiliados al Regimen Subsidiado,  clasificados en los niveles I y II de SISBEN. Nota Aclaratoria: A 30 de junio de 2010,  los contratos suscritos con la red pública distrital adscrita, cuentan con los recursos necesarios para garantizar la Gratuidad a la Poblacion Objeto, debido  a que incluyen recursos provenientes de las reservas presupuestales cosntituidas a diciembre 31 de 2009 que se han venido ejecutando con facturación 2010.</t>
  </si>
  <si>
    <t xml:space="preserve">Fueron atendidos gratuitamente 4.011 niños y niñas entre 1 y 5 años afiliados al Regimen Subsidiado,  clasificados en los niveles I y II de SISBEN. </t>
  </si>
  <si>
    <t>El cumplimiento de la meta, para el segundo  trimestre de 2010 es de 98.59%, respecto de lo programado para el año.</t>
  </si>
  <si>
    <t>Durante  el segundo  trimestre del 2010 se continuó con el mantenimiento y seguimiento  a  498.551  familias que están conformadas por 1.622.571 individuos vinculados al programa en 351 microterritorios, en  las zonas mas vulnerables de las 19 localidades que cubren el programa. El cumplimiento de la meta, para el segundo  trimestre de 2010 es de 98.59%, respecto de lo programado para el año.</t>
  </si>
  <si>
    <t xml:space="preserve">Durante el segundo trimestre del año se realizó seguimiento y atención integral a   398.303  menores de 18 años. En total se llevaron a cabo 588.579 intervenciones así: a 169.105  niños y niñas entre 0 a 5 años se les realizaron 269.709 intervenciones; a 152.329 niños y niñas entre 6-13 años se les realizaron 212.814 intervenciones y a 76.869  adolescentes entre 14-17 años se les realizaron 106.056 intervenciones. Así mismo,  se  caracterizaron 6.210 niños, niñas y adolescentes nuevos de familias migradas a los territorios. </t>
  </si>
  <si>
    <t>El resultado registra una disminución  de  5.39% al mes de junio del año en curso, con respecto a lo registrado en el mismo periodo del año anterior.</t>
  </si>
  <si>
    <t>De acuerdo con las últimas cifras disponibles en el sistema de estadísticas vitales de la Secretaría Distrital de Salud de Bogotá D.C., a junio  de 2010, en Bogotá D.C., se registraron 263 embarazos en adolescentes entre 10 y 14 años.  Durante el mismo período del año anterior, se presentaron 278 embarazos en este grupo poblacional. El resultado registra una disminución  de  5.39% al mes de junio del año en curso, con respecto a lo registrado en el mismo lapso del año anterior. Se precisa que estas cifras no son definitivas, son las últimas preliminares del trimestre con la cuales se dispone en el Sistema de Estadísticas Vitales de la Secretaría Distrital de Salud de Bogotá D.C., las cuales están con fecha de corte a 30 de junio de 2010 y en la actualidad se encuentran en proceso de revisión, análisis y depuración.</t>
  </si>
  <si>
    <t xml:space="preserve">Durante  el segundo  trimestre, como producto de las intervenciones en 144 puntos de atención de instituciones prestadoras de servicios de salud [IPS] públicas distritales, las cuales fueron asesoradas en salud sexual y reproductiva a través del ámbito, se beneficiaron de las acciones los usuarios y usuarias atendidas, equivalentes a 10.851niños, niñas y adolescentes entre los 10 y 14 años, de los cuales 110  niñas y adolescentes son  gestantes [Ultima cifras preliminares de población atendida con base en los registros individuales de prestadores de servicios de salud [RIPS], con fecha de corte a 30 de junio de 2010]. </t>
  </si>
  <si>
    <t xml:space="preserve">El resultado registra una disminución  de 8,77% al mes de junio del año en curso, con respecto a lo registrado en el mismo periodo  del año anterior. </t>
  </si>
  <si>
    <r>
      <t xml:space="preserve">A junio de 2010, en Bogotá D.C., se registraron 9.102  embarazos en adolescentes entre 15 y 19 años.  Durante el mismo período del año anterior, se presentaron  9.977 embarazos en este grupo poblacional. El resultado registra una disminución  de 8,77% al mes de junio del año en curso, con respecto a lo registrado en el mismo lapso del año anterior. Se precisa que estas cifras no son definitivas, son las últimas preliminares del trimestre con la cuales se dispone en el Sistema de Estadísticas Vitales de la Secretaría Distrital de Salud de Bogotá D.C., las cuales están con fecha de corte a 30 de </t>
    </r>
    <r>
      <rPr>
        <sz val="10"/>
        <color indexed="10"/>
        <rFont val="Calibri"/>
        <family val="2"/>
      </rPr>
      <t xml:space="preserve">marzo </t>
    </r>
    <r>
      <rPr>
        <sz val="10"/>
        <rFont val="Calibri"/>
        <family val="2"/>
      </rPr>
      <t>de 2010 y en la actualidad se encuentran en proceso de revisión, análisis y depuración.</t>
    </r>
  </si>
  <si>
    <t xml:space="preserve">Durante los meses de abril y mayo  de 2010, a través de  las intervenciones de promoción de calidad de vida y salud sexual y reproductiva, realizadas en el ámbito escolar en 2010, se cubrieron 19.829  y en el mes de junio se intervinieron 11.516  niñas y  adolescentes [de los 64.973 que se  estimaron al iniciar la vigencia] , en las  470 sedes de los Colegios Distritales en los cuales opera la estrategia de atención primaria en salud. De igual forma, con las intervenciones promocionales de la salud sexual y reproductiva en este ámbito, se cubrieron los demás miembros de la comunidad educativa  de la ciudad, beneficiando a cerca de 500.000 estudiantes, incluidos todos los niños y niñas menores de 18 años vinculados en el sistema público y educativo distrital. [Últimas cifras preliminares disponibles en el sistema de información de la SDS con corte a 30 junio de 2010]. </t>
  </si>
  <si>
    <r>
      <t xml:space="preserve">A junio de 2010, en Bogotá D.C., se registraron 9.102  embarazos en adolescentes entre 15 y 19 años.  Durante el mismo período del año anterior, se presentaron  9.977 embarazos en este grupo poblacional. El resultado registra una disminución  de 8,77% al mes de junio del año en curso, con respecto a lo registrado en el mismo lapso del año anterior. Se precisa que estas cifras no son definitivas, son las últimas preliminares del trimestre con la cuales se dispone en el Sistema de Estadísticas Vitales de la Secretaría Distrital de Salud de Bogotá D.C., las cuales están con fecha de corte a </t>
    </r>
    <r>
      <rPr>
        <sz val="10"/>
        <color indexed="10"/>
        <rFont val="Calibri"/>
        <family val="2"/>
      </rPr>
      <t>30 de marzo</t>
    </r>
    <r>
      <rPr>
        <sz val="10"/>
        <rFont val="Calibri"/>
        <family val="2"/>
      </rPr>
      <t xml:space="preserve"> de 2010 y en la actualidad se encuentran en proceso de revisión, análisis y depuración.</t>
    </r>
  </si>
  <si>
    <t xml:space="preserve">Durante el segundo trimestre, como producto de la atención en los 144 puntos de atención de la red adscrita benefician  25.410  adolescentes de 15 a 19 años  atendidos a través de la red pública distrital adscrita de los cuales 4.362   son gestantes  [Ultimas cifras preliminares de población atendida con base en los registros individuales de prestadores de servicios de salud [RIPS], con fecha de corte a 31 de junio de 2010]. </t>
  </si>
  <si>
    <t>se avanzó en un 12% en la implementación de la política pública distrital de infancia adolescencia</t>
  </si>
  <si>
    <t xml:space="preserve">                              H          M
0 - 5 años         54          48
6 - 13 años      1201       906  
14 - 17 años     240       194
</t>
  </si>
  <si>
    <t xml:space="preserve">                                           H            M
6-13 años              1822         1664        
14-17 años:                    134        101</t>
  </si>
  <si>
    <t xml:space="preserve">IMPORTANTE: 
El dato de población total de NNA que suministra la SDP será la fuente con base en la cual las entidades darán cuenta de sus acciones en lo que respecta a indicadores de gestión y de impacto.
</t>
  </si>
  <si>
    <t>Rangos</t>
  </si>
  <si>
    <t>El reporte de la información presupuestal deberá hacerse de la misma manera que se ha venido desarrollando en informes anteriores. Las columnas que componen este aparte son las siguientes:</t>
  </si>
  <si>
    <t>Atención de la infancia y la adolescencia</t>
  </si>
  <si>
    <t>Programa plan de desarrollo</t>
  </si>
  <si>
    <t>Proyecto plan de desarrollo</t>
  </si>
  <si>
    <t>Meta plan de desarrollo</t>
  </si>
  <si>
    <t>Inversión proyectada 
2008-2012 
(millones $)</t>
  </si>
  <si>
    <t>Proyecto de inversión</t>
  </si>
  <si>
    <t>Sector: Educación</t>
  </si>
  <si>
    <t>ENTIDAD: Secretaría de Educación del Distrito</t>
  </si>
  <si>
    <t>Bogotá bien alimentada</t>
  </si>
  <si>
    <t>Alimentación escolar</t>
  </si>
  <si>
    <t xml:space="preserve">685.000 estudiantes de colegios con suministro diario de refrigerio
</t>
  </si>
  <si>
    <r>
      <t xml:space="preserve">Al ejecutar el 100% de la inversión se estima que habrá un total de </t>
    </r>
    <r>
      <rPr>
        <b/>
        <sz val="11"/>
        <rFont val="Trebuchet MS"/>
        <family val="2"/>
      </rPr>
      <t xml:space="preserve">160.000 </t>
    </r>
    <r>
      <rPr>
        <sz val="11"/>
        <rFont val="Trebuchet MS"/>
        <family val="2"/>
      </rPr>
      <t xml:space="preserve">mil niños como </t>
    </r>
    <r>
      <rPr>
        <b/>
        <sz val="11"/>
        <rFont val="Trebuchet MS"/>
        <family val="2"/>
      </rPr>
      <t>potenciales</t>
    </r>
    <r>
      <rPr>
        <sz val="11"/>
        <rFont val="Trebuchet MS"/>
        <family val="2"/>
      </rPr>
      <t xml:space="preserve"> beneficiarios de las inversiones del proyecto</t>
    </r>
  </si>
  <si>
    <t>Recursos Invertidos
(millones $)
2008</t>
  </si>
  <si>
    <t>486-Apropiación de la cultura cientifica para todas y todos</t>
  </si>
  <si>
    <t>Durante el proceso de modernización no se presentan beneficiarios</t>
  </si>
  <si>
    <t>Arte Vivo</t>
  </si>
  <si>
    <t>Alcanzar 3.520.000 participantes en actividades artísticas, culturales y patrimoniales, con criterios de proximidad, diversidad, pertinencia, y calidad para promover la convivencia, la apropiación cultural de la ciudad y el ejercicio del derecho a la cult</t>
  </si>
  <si>
    <t>Bogotá Espacio de Vida</t>
  </si>
  <si>
    <t>Equipamientos culturales, recreativos y deportivos</t>
  </si>
  <si>
    <t>Construir 3 escenarios (uno de escala metropolitana y dos zonales)</t>
  </si>
  <si>
    <t>Para Nacimientos la fuente es Secretaería Distrital de Salud de Bogotá D.C. Area de Vigilancia en Salud Pública: Sistema de Estadísticas Vitales de la Secretaría Distrital de Salud de Bogotá D.C.Cifras Preliminares.
Para los niños niñas y adolescentes atendidas-os en las 144 IPS  la fuente son: Los registros individuales de prestadores de servicios de salud [RIPS]</t>
  </si>
  <si>
    <t xml:space="preserve">Secretaría Distrital de Planeación, Subsecretaría de Información y Estudios Estratégicos Dirección de Información, Cartografía y Estadística. Fuente: DANE. </t>
  </si>
  <si>
    <t xml:space="preserve">Secretaría Distrital de Salud de Bogotá D.C. Dirección de Salud Pública, Área de Vigilancia en Salud Pública: SIS - 151 - Resumen Mensual de Vacunación. </t>
  </si>
  <si>
    <t>Secretaría Distrital de Salud de Bogotá D.C., Dirección de Salud Pública, Área de Acciones en Salud:  Informes de Gestión ESE Plan de Intervenciones Colectivas [PIC].</t>
  </si>
  <si>
    <t>Secretaría Distrital de Salud de Bogotá D.C. Dirección de Salud Pública,  Área de Acciones en Salud: Sistema de información Linea Amiga 106.</t>
  </si>
  <si>
    <t>Secretaría Distrital de Salud de Bogotá D.C. Dirección de Salud Pública, Área de Vigilancia en Salud Pública: Sistema de Vigilancia en Salud Oral [SISVESO]</t>
  </si>
  <si>
    <t>Secretaría Distrital de Salud de Bogotá D.C. Dirección de Salud Pública, Área de Acciones en Salud: Gestión del Plan de Intervenciones Colectivas [PIC]</t>
  </si>
  <si>
    <t xml:space="preserve">Sistema de informacion de Vigilancia alimentaria y nutricional. SDS [SISVAN] </t>
  </si>
  <si>
    <t>Macidos vivos: DANE y Estadisticas Vitales de la Secretaría Distrital de Salud de Bogotá D.C.                         Casos: Sistema de información de vigilancia nutricional (SISVAN)</t>
  </si>
  <si>
    <t>Tasa: Anual
Casos: Trimestral</t>
  </si>
  <si>
    <t>Secretaría Distrital de Salud de Bogotá D.C. Dirección de Salud Pública, Área de Vgilancia en Salud Pública: Sistema de Vigilancia Alimentaria y Nutricional [SISVAN].</t>
  </si>
  <si>
    <t>Secretaría Distrital de Salud de Bogotá D.C. Dirección de Salud Pública: Laboratorio de salud Püblica Centralizado de VIH SDS.</t>
  </si>
  <si>
    <t>Secretaría Distrital de Salud de Bogotá D.C. Dirección de Salud Pública, Área de Vgilancia en Salud Pública:Registros del Sistema de Vigilancia Epímdemiológica de Violencia Intrafamiliar [SIVIM].</t>
  </si>
  <si>
    <t xml:space="preserve">Secretaría Distrital de Salud de Bogotá D.C. Dirección de Salud Pública, Área de Accines en Salud: Sistema de información de Gestión del Plan de Intervenciones Colectivas [PIC]. </t>
  </si>
  <si>
    <t>DANE y Estadisticas Vitales de la Secretaría Distrital de Salud de Bogotá D.C.  Para el número de casos y tasa de mortalidad.
Base de datos única de afiliados. Ministerio de la Protección Social, BDUA, para el número de afiliados.</t>
  </si>
  <si>
    <t>Trimestral para el número de casos de mortalidad.
Anual para la tasa de mortalidad
Trimestral para el número de afilaidos BDUA.</t>
  </si>
  <si>
    <t>Base de datos única de afiliados. Ministerio de la Protección Social, BDUA, para el número de afiliados.</t>
  </si>
  <si>
    <t>Registro de Información  de prestación de servicios en salud SDS [RIPS].</t>
  </si>
  <si>
    <t>DANE y Estadisticas Vitales de la Secretaría Distrital de Salud de Bogotá D.C.  Para el número de casos y tasa de mortalidad.
Para el número  gestantes menores de 18 años  atendidas-os en las 144 IPS  la fuente son: Los registros individuales de prestadores de servicios de salud [RIPS]</t>
  </si>
  <si>
    <t>Tasa: Anual.
Casos Trimestral
Gestantes menores de 18 años: Trimestral</t>
  </si>
  <si>
    <t>Durante el segundo trimestre se avanzó en un 12% en la implementación de la política pública distrital de infancia adolescencia, a  través de las acciones de los gestores locales de infancia adolescencia de las veinte localidades del Distrito Capital, quienes vienen trabajando en la recuperación de los espacios de concertación de acciones integrales de la infancia y de la adolescencia en los diferentes sectores con presencia en lo local. Se precisa que en el primer trimestre de 2010 se comprometieron en 100% los recursos programados, cuyo giro se realiza en forma mensual, de acuerdo con la entrega de los productos, por esta razón se reporte una ejecución financiera de 100% y una ejecución física de 9% de avance.</t>
  </si>
  <si>
    <t>Atender a 2550 niños y niñas y 250 adolescentes, hijos de la población en proceso de reinserción.</t>
  </si>
  <si>
    <t>Atender 355  niños y niñas y 4045 jovénes, hijos de la pobalción en proceso de reinserción y las comunidades de acogida.</t>
  </si>
  <si>
    <t>Equipos Tecnologicos</t>
  </si>
  <si>
    <t>Ejecución tercer trimestre
(millones $) Acumulados 1er, 2do y 3er trim</t>
  </si>
  <si>
    <t>Ejecución cuarto trimestre
(millones $) Acumulados 1er, 2do, 3er y 4to trim</t>
  </si>
  <si>
    <t>Metas alcanzadas
al trimestre de análisis</t>
  </si>
  <si>
    <t>Número de Personas beneficiadas
al trimestre de análisis</t>
  </si>
  <si>
    <t>628 - Infancia y adolescencia feliz y protegida integralmente</t>
  </si>
  <si>
    <t>7361 Alimentación escolar en los colegios oficiales del Distrito Capital</t>
  </si>
  <si>
    <t>Suministrar 165.00 comidas calientes diarias a estudiantes de colegios distritales</t>
  </si>
  <si>
    <t>Acceso y permanencia a la educación para todas y todos</t>
  </si>
  <si>
    <t>Gratuidad educativa, una ganancia para todos</t>
  </si>
  <si>
    <t>Beneficiar con gratuidad total 1.086.000 estudiantes</t>
  </si>
  <si>
    <t>396 Gratuidad en el sistema educativo oficial del Distrito Capital: Tarifas</t>
  </si>
  <si>
    <t>396 Gratuidad  en el sistema educativo oficial del Distrito Capital: Utiles Escolares</t>
  </si>
  <si>
    <t>Apoyo a estudiantes para ir al colegio</t>
  </si>
  <si>
    <t xml:space="preserve">Ofrecer transporte escolar a 35.000 estudiantes de los colegios distritales.  </t>
  </si>
  <si>
    <t>557 Apoyo a estudiantes de los colegios oficiales de Bogotá</t>
  </si>
  <si>
    <t xml:space="preserve">Otorgar subsidio de transporte condicionado a la asistencia escolar 23.860 estudiantes de los colegios distritales. </t>
  </si>
  <si>
    <t>Otorgar subsidio condicionado a la asistencia escolar a 45.000 estudiantes de los colegios distritales</t>
  </si>
  <si>
    <t xml:space="preserve">Todos y todas en el colegio </t>
  </si>
  <si>
    <t>Atender 183.514 estudiantes en colegios en concesión o en convenio</t>
  </si>
  <si>
    <t>4248 Subsidios a la demanda educativa:
Convenio</t>
  </si>
  <si>
    <t>Hombres: 69.228
Mujeres: 66.513
Ciclo 1 (0-5):  9.009
Ciclo 2 (6-13):  98.947
Ciclo 3 (14-17): 27.785</t>
  </si>
  <si>
    <t>4248 Subsidios a la demanda educativa: Concesion</t>
  </si>
  <si>
    <t>Hombres: 20.047
Mujeres: 19.260
Ciclo 1 (0-5):  2.300
Ciclo 2 (6-13):  28.664
Ciclo 3 (14-17): 8.342</t>
  </si>
  <si>
    <t xml:space="preserve">Educación de calidad  y pertinencia para vivir mejor </t>
  </si>
  <si>
    <t xml:space="preserve">Transformación pedagógica para la calidad de la educación </t>
  </si>
  <si>
    <t>Reorganizar la enseñanza por ciclos y por períodos académicos en 370 colegios</t>
  </si>
  <si>
    <t>La población beneficiara de esta meta se encuentra reportada en la meta Cupos Gratuitos en educación inicial de este mismo proyecto (497, Infancia y Adolescencia Feliz y Protegida Integralmente).  El reporte efectuado aquí es la ampliación de cobertura en</t>
  </si>
  <si>
    <t xml:space="preserve">900.000 niños y niñas compromisarios de sus propios derechos.  </t>
  </si>
  <si>
    <t>Informar y sensibilizar 224.762 niñas y niños en temas relacionados con sus derechos para contribuir a que se hagan compromisarios de los mismos.</t>
  </si>
  <si>
    <t>Atender progresivamente el nivel de educación preescolar a partir de los 3 años de edad.</t>
  </si>
  <si>
    <t>Control Social al alcance de todos</t>
  </si>
  <si>
    <t xml:space="preserve">Asesoría y control de los servicios sociales </t>
  </si>
  <si>
    <t>Diseñar y poner en marcha 1 plan de asesoría y control de los servicios sociales</t>
  </si>
  <si>
    <t xml:space="preserve">Sistema de gestión de Calidad Integral de Servicios Sociales en el Distrito para la Garantía de los Derechos </t>
  </si>
  <si>
    <t>0-5 años   131.274 niños y niñas 
Se toma como base para el calculo la cobertura promedio de los Jardines públicos y Privados (76,5) y se multiplica por la cantidad de instituciones auditadas (1716)</t>
  </si>
  <si>
    <t>Jóvenes visibles y con derechos</t>
  </si>
  <si>
    <t>Formar en promoción de los derechos sexuales y reproductivos a 256.000 jóvenes</t>
  </si>
  <si>
    <t>Difundir entre 1.300.000 niños, niñas y jóvenes información sobre derechos sexuales y reproductivos y prevención en consumo de sustancias psicoactivas</t>
  </si>
  <si>
    <t>Formar alternativas de prevención en consumo de sustancias psicoactivas a 256.000 jóvenes</t>
  </si>
  <si>
    <t>Fomentar el emprendimiento, la producción, la promoción de iniciativas culturales y artísticas de los y las jóvenes</t>
  </si>
  <si>
    <t>Subtotal</t>
  </si>
  <si>
    <t>Entidad: Instituto Distrital para la Protección de la Niñez y la Juventud - Idipron</t>
  </si>
  <si>
    <t>Suministrar 146.000 apoyos alimentarios diarios a la población en inseguridad alimentaria y nutricional, priorizando en población vulnerable</t>
  </si>
  <si>
    <t>Con la política pública de infancia adolescencia, se benefician de manera indirecta 2.213.287 niños, niñas y adolescentes del Distrito Capital, Secretaría Distrital de Planeación, Subsecretaría de Información y Estudios Estratégicos Dirección de Información, Cartografía y Estadística. Fuente: DANE. Nota aclaratoria: se precisa que la ejecución del 100% de los recursos, se corresponde con el valor comprometido para la actualización y puesta en marcha de la política.</t>
  </si>
  <si>
    <t>Polio: 47.8% de cumplimiento  tercera dosis de antipolio [VOP]
DPT:47.9% de cumplimiento
BCG:48.6% de cumplimiento
Hepatitis:47.9% de cumplimiento
Haemophilus 47.9% de cumplimiento.
Triple Viral:48.5% de cumplimiento
Fiebre Amarilla:48.3% de cumplimiento.
[Últimos datos  disponibles en el sistema de información de la entidad con corte a 30 de junio de 2010.]</t>
  </si>
  <si>
    <t>Polio: 47.8% de cumplimiento  tercera dosis de antipolio [VOP]
DPT:47.9% de cumplimiento
BCG:48.6% de cumplimiento
Hepatitis:47.9% de cumplimiento
Haemophilus 47.9% de cumplimiento.
Triple Viral:48.5% de cumplimiento
Fiebre Amarilla:48.3% de cumplimiento.
[Últimos datos  disponibles en el sistema de información de la entidad con corte a 30 de junio de 2010.]
Nota: La reducción en la apropiación definitiva se debe a una modificación presupuestal de acuerdo con las necesidades del proyecto .</t>
  </si>
  <si>
    <t>57.266  niños y niñas menores de un año vacunados con tercera dosis de antipolio [VOP], alcanzando un 47.8% de cumplimiento.
57.279 niños y niñas menores de un año vacunados con  DPT, alcanzando un 47.9% de cumplimiento.
58.111 niños y niñas menores de un año vacunados con B.C.G., alcanzando un 48.6% de cumplimiento.
57.322 niños y niñas menores de un año vacunados contra la hepatitis, alcanzando un 47.9% de cumplimiento.
57.279 niños y niñas menores de un año vacunados Haemophilus, alcanzando un 47.9% de cumplimiento.
57.767  niños y niñas  de un año vacunados triple viral, alcanzado un 48.5% de cumplimiento.
57.419 niños y niñas  de un año vacunados contra la fiebre amarilla  alcanzado un 48.3% de cumplimiento. Nota Aclaratoria: Mediante traslado presupuestal se modifica el valor inicial con el fin de continuar  durante el año 2010  las estrategias del programa ampliado de inmunizaciones, a nivel local, entre las cuales se encuentran: estrategia extramural, seguimiento al sistema de información, capacitación   y actualización en PAI a las auxiliares de vacunación, jornadas masivas de vacunación, seguimiento a cumplimiento de metas en IPS, horarios extendidos y seguimiento a cohortes.</t>
  </si>
  <si>
    <t>Se cubrió el 100% de Sedes de Colegios y Jardines infantiles y IES.</t>
  </si>
  <si>
    <t xml:space="preserve">Durante el segundo  trimestre de 2010, se cubrieron 470 sedes de colegios y 160 jardines infantiles y IES.
</t>
  </si>
  <si>
    <t xml:space="preserve">La población beneficiada de manera directa e indirecta por el Programa Salud al Colegio es de 500.000 niños, niñas y adolescentes en colegios y escuelas distritales y de 14.400 en los jardines infantiles. </t>
  </si>
  <si>
    <t>Se mantiene en 15 horas de domingo a domingo 7 dias a la semana lo que corresponde al 62.5%</t>
  </si>
  <si>
    <t xml:space="preserve">Durante el segundo trimestre de 2010 se alcanzó una cobertura de  43.6%  para Hepatitis A y de 45.8% para Rotavirus. Con este resultado, se cumplió y superó la meta programada para alcanzar en el trimestre, equivalente a 47.4% por biológico. 
Nota: El incremento en la apropiación definitiva se debe a una modificación presupuestal de acuerdo con las necesidades del proyecto  </t>
  </si>
  <si>
    <t>Durante el segundo trimestre de 2010, se vacunaron con el biológico para prevenir la aparición de la Hepatitis A,  51.937  niños y niñas de un año de edad alcanzando así  una cobertura de  43.6%  para el biológico. De igual forma, fueron vacunados con segundas dosis  de Rotavirus,  54.796 niños y niñas menores de un año de edad, alcanzando así  una cobertura de 45.8%  para este biológico.  Se precisa que el cumplimiento físico de la meta, no es quiparable con el grado de avance de ejecución financiera, debido a que las dosis de vacunación quedarón cubiertas con la última contratación realizada en 2009. Esta contratación se debe realizar con anticipación para garantizar la disponibilidad permanente de las vacunas, previendo eventualdiades e imprevistos, entre otros a causa de la nacionalización. 
Nota aclaratoria: Mediante modificaciones presupuestales, se incrementa la apropiación inicial en $30.000.000, en el primer trimestre, los cuales se requieren para la contratación del servicio de nacionalización de biológicos adquiridos por el fondo rotatorio de la OPS y para este segundo trimestre se adicionan $50.000.000 para estudios predintroductorios que le apuntan a esta meta.</t>
  </si>
  <si>
    <t xml:space="preserve">Secretaría Distrital de Salud de Bogotá D.C., Dirección de Salud Pública, Área de Vigilancia en Salud Pública: SIS - 151 Resumen Mensual de Vacunación. </t>
  </si>
  <si>
    <t xml:space="preserve">Durante el segundo trimestre de 2010 se aplicaron 54.666  vacunas contra el Neumococo, correspondiente a la tercera dosis, como refuerzo del esquema al primer año de edad y con corte a junio  30 se aplicaron 57.580 vacunas se aplicaron como primeras dosis  y  59.790 segundas dosis,  a  niños y niñas residentes en Bogotá D.C.,  nacidos desde el  1 de octubre de 2008. En total se aplicaron 172.036  dosis, equivalentes a 48,19% de avance, con relación a lo programado para la vigencia fiscal.
Nota: El incremento en la apropiación definitiva se debe a una modificación presupuestal de acuerdo con las necesidades del proyecto  </t>
  </si>
  <si>
    <t>54.666 niños y niñas de un año de edad completaron el esquema de vacunación contra neumococo alcanzado y un  45.9% de cumplimiento de cobertura, respecto del 95% programado 2010. 
Nota 1: Se precisa que mediante traslado presupuestal,  se modificó el valor inicial, para garantizar la continuidad de las estrategias del programa en los nuevos biológicos, en el nivel local, entre las cuales se encuentran: estrategia extramural, seguimiento al sistema de información, capacitación y actualización en PAI a las auxiliares de vacunación, jornadas masivas de vacunación, seguimiento a cumplimiento de metas en IPS, horarios extendidos y seguimiento a cohortes.</t>
  </si>
  <si>
    <t>Secretaría Distrital de Salud de Bogotá D.C., Dirección de Salud Pública, Área de Vigilancia en Salud Pública: SIS - 151 - Resumen Mensual de Vacunación.</t>
  </si>
  <si>
    <t xml:space="preserve">Durante el  segundo trimestre de 2010, se mantuvo la atención de la línea amiga de las niñas, niños y adolescentes 106, durante 15 horas, de domingo a domingo 7 días a la semana, para lo cual se dispusó de la infraestructura necesaria que garantizará la respuesta durante este tiempo, a través de medios en chat, línea telefónica,  servicios de preguntas y respuestas  a través de la página WEB: www.saludcapital.gov.co en el enlace con linea 106, con la consecuente atención integral y seguimiento de casos de maltrato y violencia intrafamiliar, como componente de la promoción de la slaud mental. El nivel de cumplimiento, frente a la meta programada para vigencia 2010, es de 62.5%.
De manera específica, a través del Proyecto de Inversión 626 Instituciones Saludables y Amigables, se adelantaron todas las intervenciones  encaminadas a garantizar la operación de la Línea 106 a nivel distrital y a nivel local. </t>
  </si>
  <si>
    <t>Como producto de la atención brindada por la Línea 106, durante el segundo trimestre  de 2010, se realizaron 14.889 intervenciones a favor de la infancia y la adolescencia. De éstas, 13.428 se llevaron a cabo mediante la utilización de la línea telefónica [126, a través del buzón de la localidad de Sumapaz, y 1.461 a través del chat].   Ultimas cifras preliminares disponibles en el Sistema de Información de la entidad con corte a 30 de junio de 2010.</t>
  </si>
  <si>
    <t>Secretaría Distrital de Salud de Bogotá D.C., Dirección de Salud Pública, Área de Vigilancia en Salud Pública: Sistema de información Línea 106</t>
  </si>
  <si>
    <t xml:space="preserve"># de NNA en situación de vulneración de sus derechos atendidos en  Centros Crecer  desagregados por localidad, género y rango etario </t>
  </si>
  <si>
    <t>Atender  5.100 Niñas, niños y adolescentes Contra la explotación laboral a través de los Centros Amar de Integración</t>
  </si>
  <si>
    <t># de NNA en explotación laboral atendidos en  Centros Amar de Integración desagregados por localidad, género y rango etario 
\Seguimiento a los casos de vulneración de derechos identificados
\ Modalidades de atención a NNA explotados laboralmente</t>
  </si>
  <si>
    <r>
      <rPr>
        <i/>
        <sz val="11"/>
        <rFont val="Trebuchet MS"/>
        <family val="2"/>
      </rPr>
      <t>Meta de Ciudad:</t>
    </r>
    <r>
      <rPr>
        <sz val="11"/>
        <rFont val="Trebuchet MS"/>
        <family val="2"/>
      </rPr>
      <t xml:space="preserve">  reducir el 100% de embarazos en adolescentes de 10 a 14 años.
Implementar acciones educativas, legales y de control para la restitución de los derechos de los niños, niñas y jóvenes victimas de abuso sexual </t>
    </r>
  </si>
  <si>
    <t>Formar a 6.500 NNA en desarrollo humano, proyectos de vida y DSR para contribuir  a la prevención del abuso sexual infantil</t>
  </si>
  <si>
    <t>Programas de prevención del abuso sexual - embarazo infantil 
Mecanismos de denuncia y seguimiento a los casos de abuso sexual - embarazo infantil
Acciones de restitución de derechos de niñas y niños abusados sexualmente</t>
  </si>
  <si>
    <t xml:space="preserve">Meta de Ciudad:  Aumentar a 6 meses la lactancia materna exclusiva. </t>
  </si>
  <si>
    <t>Acreditación y Reacreditación de las Salas Amigas de la Familia Lactante  de la ciudad</t>
  </si>
  <si>
    <t>\Capacitación en lactancia materna a familias gestantes
\Formación en lactancia materna en centros de cuidado 
\Actividades de promoción, protección y formación en lactancia materna
\Salas Amigas de la Familia Lactante \Apoyo a adolescentes lactantes
\Acreditación y reacreditación de SAFL</t>
  </si>
  <si>
    <t>Meta de Ciudad:  Aumentar a 6 meses la lactancia materna exclusiva</t>
  </si>
  <si>
    <t xml:space="preserve">Formar 20.000 NNA en acciones educativas, legales y de control para la restitución de los derechos </t>
  </si>
  <si>
    <t># de NNA  formados en prevención de la ESCNNA derechos humanos y construcción de ciudadanía desagregados por localidad, género y rango etario</t>
  </si>
  <si>
    <r>
      <t># de cupos para educación inicial en el distrito desagregado por localidad
# de NNA atendidos en educación incial desagregador por localidad, género y rango etario
# cuidadoras</t>
    </r>
    <r>
      <rPr>
        <sz val="11"/>
        <color indexed="8"/>
        <rFont val="Calibri"/>
        <family val="2"/>
      </rPr>
      <t>/es</t>
    </r>
    <r>
      <rPr>
        <sz val="11"/>
        <color theme="1"/>
        <rFont val="Calibri"/>
        <family val="2"/>
      </rPr>
      <t xml:space="preserve"> capacitadas en estándares técnicos de educación inicial</t>
    </r>
  </si>
  <si>
    <t># de Cupos disponibles en jardines especiales para NN con discapacidad  desagregador por localidad
# de NN con discapacidad atendidos en jardines especiales desagregados por localidad y género</t>
  </si>
  <si>
    <t xml:space="preserve"># de NN sensibilizados en sus derechos desagregados por localidad y género (participantes de eventos masivos de sensibilización,emisión de programas radiales, ferias de atención) </t>
  </si>
  <si>
    <t>Garantizar el funcionamiento de los Consejos locales y distrital de niños y niñas</t>
  </si>
  <si>
    <t>Acciones dirigidas a garantizar el funcionamiento de los Consejos locales y distrital de niños y niñas
Formación de niños y niñas miembros de los consejos en derechos</t>
  </si>
  <si>
    <t>* Suministrar 50.301 apoyos  alimentarios a la población en inseguridad alimentaria y nutricional.
*  Entregar 52.567  bonos de apoyo alimentario fin de año a niños-as y adolescentes antedidos en Jardines Infantiles y Centros Crecer.</t>
  </si>
  <si>
    <t># de apoyos alimentarios disponibles en los Jardines Infantiles y en los Centros Crecer 
# de NNA beneficiados con los  bonos alimentarios  de los jardines infantiles y Centros Crecer</t>
  </si>
  <si>
    <t>*  Brindar 8.650  cupos mensuales  de bonos de apoyo alimentario a mujeres gestantes y lactantes con gestaciones únicas.
*  Brindar 100 cupos mensuales de bonos apoyo alimentario a mujeres gestantes y lactantes con gestaciones múltiples.
*  Brindar 2.200 cupos mensuales de bonos complementarios a la mujer gestante con bajo peso y a madres con hijos-as nacidos-as con bajo peso.</t>
  </si>
  <si>
    <t># de bonos de apoyo alimentario a mujeres gestantes y lactantes con gestaciones únicas entregados
# de bonos apoyo alimentario a mujeres gestantes y lactantes con gestaciones múltiples entregados
# de bonos complementarios a la mujer gestante con bajo peso y a madres con hijos-as nacidos-as con bajo peso entregados</t>
  </si>
  <si>
    <t>Cubrir 734 sedes de colegios, 310 jardines y 8 Universidades o Instituciones de Educación Superior [IES] cubiertos por el Programa Salud al Colegio</t>
  </si>
  <si>
    <t>Aumentar a 18% la población mayor de 13 años que practica alguna actividad física de forma habitual.</t>
  </si>
  <si>
    <t>Reducir a 10% la tasa de bajo peso al nacer.</t>
  </si>
  <si>
    <t>Controlar la prevalencia de infección por VIH en población gestante no asegurada.</t>
  </si>
  <si>
    <t>Aumentar en 10% la denuncia de violencia intrafamiliar y violencia sexual.</t>
  </si>
  <si>
    <t>Contribuir a la Erradicación del trabajo infantil.</t>
  </si>
  <si>
    <t>Reducir la tasa de mortalidad en menores de 1 año a 9.9 por 1.000 nacidos vivos.</t>
  </si>
  <si>
    <t xml:space="preserve">Reducir la tasa de mortalidad materna por debajo de 40 por 100.000 nacidos vivos </t>
  </si>
  <si>
    <t xml:space="preserve">Reducir la tasa de mortalidad perinatal por debajo de 16 por mil nacidos vivos </t>
  </si>
  <si>
    <t>2.600 Adolescentes gestantes en posparto y lactantes,  de las cuales, 420 pertenecen al grupo poblacional de 10 a 14 años, con atención integral y seguimiento, disminuyendo de esta forma las complicaciones asociadas a dichos procesos; regulación de la fecundidad a través de la adopción de un método anticonceptivo y la articulación con servicios de apoyo social [Ultima cifra disponible en el sistema de información de la Entidad, con fecha de corte a diciembre 31 de 2009].</t>
  </si>
  <si>
    <t>112.680 niños y niñas  de un año inmunizados   con el biológico contra Hepatitis A  [Última información preliminar disponible en el Sistema de Información de la Entidad con fecha de corte a 31 de diciembre de 2009].
109.327  niños y niñas menores de un año inmunizados   con el biológico contra Rotavirus  [Última información preliminar disponible en el Sistema de Información de la Entidad con fecha de corte a diciembre de 2009].
709,730
El desarrollo científico en el desarrollo de nuevas vacunas, para el beneficio de niños y niñas, requiere además una evaluación técnico-administrativa, que determine la factibilidad y viabilidad de su implementación en la ciudad.</t>
  </si>
  <si>
    <t xml:space="preserve">100.492 niños y niñas menores de un año inmunizados   con el biológico contra NEUMOCOCO   [Última información disponible en el Sistema de Información de la Entidad con fecha de corte a diciembre de 2009]. </t>
  </si>
  <si>
    <t>Realizado el 100% de seguimiento a los casos denunciados de maltrato infantil, delitos sexuales contra niños, niñas y adolescentes remitidos  por las Comisarías de Familia a las entidades competentes del sistema judicial (Fiscalía general de la Nación) para investigación penal.</t>
  </si>
  <si>
    <t>0-5 : 
Niños: 61   
Niñas: 51           
6-13: 
Niños: 100 
Niñas: 34        
14-17:  
Niños: 59 
Niñas: 15</t>
  </si>
  <si>
    <t>* Atendidas 163 personas /año en servicios especializados a mujeres víctimas de violencia intrafamiliar o sexual  y niños-as y adolescentes victimas de explotación sexual comercial.
*  Atendidos 455 cupos/año a niños y niñas con medidas de protección legal de acuerdo a la Ley 1098 de 2006 (Art. 51,53 y 198), atendiendo a 855 nilñas, niños y adolescentes, es ecir, hay un índice de rotación de 1,79,
*  Atendidos 197 grupos familiares en servicio de atención terapéutica</t>
  </si>
  <si>
    <t xml:space="preserve">META 350  
0-5 : Niños: 21   Niñas: 25            
6-13: Niños: 10   Niñas:  22         
14-17:  Niños: 12   Niñas:  35.             
Del total de las 163 personas atendidas en servicios especializados a mujeres víctimas de violencia intrafamiliar o explotación sexual comercial, solamente 125 corresponden a niñas, niños y adolescentes y el restante corresponde a personas mayores. 
META 455: 
0-5 : Niñas: 183          
6-13:  Niños: 262  Niñas: 232         
14-17:  Niños:  42  Niñas: 96. 
Se atienden en total 855 niñas, niños y adolescentes en 455 cupos. </t>
  </si>
  <si>
    <t>Atendidos en 67 cupos/año a niños, niñas y adolescentes con discapacidad y medida de protección legal</t>
  </si>
  <si>
    <t xml:space="preserve">Demandas VIF:                                                            
0-5: Niños: 450 Niñas: 579               
6-13:  Niños: 583 Niñas: 575         
14-17:  Niñas: 841        
Del total de demandas atendidas, es decir, de las 30,848 demandas </t>
  </si>
  <si>
    <t>Avance del 64%  el modelo de prevención y estrategia de ciudad segura.</t>
  </si>
  <si>
    <t>El producto de la meta, es decir, el modelo beneficia a la totalidad de la población reportada en el censo</t>
  </si>
  <si>
    <t>Logrados 1.180 cupos de atención para niños, niñas y adolescentes en condicion de discapacidad en los Centros Crecer, en donde se han atendido 1,418 niñas, niños y adolescentes, es decir, hay un índice de rotación de 1,20.</t>
  </si>
  <si>
    <t>6-13 AÑOS
HOMBRES: 422  MUJERES 214
14-17 AÑOS: 
HOMBRES: 471 MUJERES: 311</t>
  </si>
  <si>
    <t>Atendidos 5.918 niñas, niños y adolescentesen situación de vulneración de sus derechos atendidos en  Centros Forjar en Reponsabilidad Penal Adolescente</t>
  </si>
  <si>
    <t>0-5 AÑOS:
HOMBRES: 10 MUJERES: 9
6-13 AÑOS
HOMBRES: 2,432 MUJERES 2,351
14-17 AÑOS: 
HOMBRES: 538 MUJERES:578</t>
  </si>
  <si>
    <t>Atendidos 2.105 niñas, niños y adolescentes en explotación laboral atendidos en Centros Amar de Integración en la modalidad de atención especializada.</t>
  </si>
  <si>
    <t>0-5 AÑOS:
HOMBRES: 84 MUJERES:61
6-13 AÑOS
HOMBRES: 941 MUJERES 724
14-17 AÑOS: 
HOMBRES: 160 MUJERES: 135</t>
  </si>
  <si>
    <t xml:space="preserve">Formados 2.267 niñas, niños y adolescentes  en desarrollo humano y proyecto de vida con el fin de prevenir el embarazo adolescente y el abuxo sexual infantil. </t>
  </si>
  <si>
    <t>6-13 AÑOS
HOMBRES: 1,315  MUJERES 952</t>
  </si>
  <si>
    <t>Acreditadas 8 Salas Amigas de la Familia Lactante en jardines del Distrito.</t>
  </si>
  <si>
    <t xml:space="preserve">0-5 AÑOS:
HOMBRES: 441 MUJERES: 427 </t>
  </si>
  <si>
    <t>Reacreditadas 5  Salas Amigas de la Familia Lactante  en jardines del Distrito.</t>
  </si>
  <si>
    <t>0-5 AÑOS:
HOMBRES: 382 MUJERES: 338</t>
  </si>
  <si>
    <t>Formados 801  niñas, niños y adolescentes en acciones educativas, legales y de control para la restitución de los derechos</t>
  </si>
  <si>
    <t>6-13 AÑOS
HOMBRES: 465  MUJERES: 336</t>
  </si>
  <si>
    <t xml:space="preserve">Atendidos en 46.497 cupos, 47.452 niños y niñas atendidos-as en jardines en educación inicial.
</t>
  </si>
  <si>
    <t>0-5 AÑOS:
HOMBRES: 24.776 MUJERES: 22.676</t>
  </si>
  <si>
    <t>Atendidos 1.398 niños y niñas con discapacidad incluidos en jardines del Distrito.</t>
  </si>
  <si>
    <t>0-5 AÑOS:
HOMBRES: 893 MUJERES: 505</t>
  </si>
  <si>
    <r>
      <t>Actividades realizadas para la coordinación de la entrega de apoyos a las organizaciones (convocatorias)
# de NNA beneficiados y</t>
    </r>
    <r>
      <rPr>
        <sz val="11"/>
        <rFont val="Calibri"/>
        <family val="2"/>
      </rPr>
      <t>/</t>
    </r>
    <r>
      <rPr>
        <sz val="11"/>
        <rFont val="Trebuchet MS"/>
        <family val="2"/>
      </rPr>
      <t>o participantes en los proyectos ganadores de la convocatoria</t>
    </r>
  </si>
  <si>
    <t>Atender 569.338 NNA como parte del 1.433.000 participantes definidos en la meta plan</t>
  </si>
  <si>
    <t># de NNA beneficiados y/o participantes  en eventos recreativos del IDRD desagregados por género y rango etario:
- Recreoestaciones
- Caminatas Recreoecológicas
- Retoaventura
- Campamentos Juveniles
- Colegio al Parque
- Vacaciones Recreativas
- Ludotecas</t>
  </si>
  <si>
    <t xml:space="preserve"># de NNA participantes en  escuelas deportivas  del IDRD desagregados por género y rango etario:
- Escuelas de Iniciación 
- Escuelas de Especialización 
. Escuelas de Perfeccionamiento </t>
  </si>
  <si>
    <t xml:space="preserve">Apoyar a  165 deportistas adolescentes de los 900 contemplados en la meta plan </t>
  </si>
  <si>
    <t># de NNA deportistas vinculados al proyecto de rendimiento deportivo desagregados por género y rango etario</t>
  </si>
  <si>
    <t xml:space="preserve">Estado de avance de la construcción de los escenarios de deporte extremo
Ubicación (localidad) del escenario e impacto esperado en NNA </t>
  </si>
  <si>
    <t>ENTIDAD: Instituto Distrital de Patrimonio Cultural - IDPC</t>
  </si>
  <si>
    <r>
      <t>Actividades realizadas para la realización de la fiesta de niños y niñas 2010  (convocatoria)
# de NNA beneficiados y</t>
    </r>
    <r>
      <rPr>
        <sz val="11"/>
        <rFont val="Calibri"/>
        <family val="2"/>
      </rPr>
      <t>/</t>
    </r>
    <r>
      <rPr>
        <sz val="11"/>
        <rFont val="Trebuchet MS"/>
        <family val="2"/>
      </rPr>
      <t xml:space="preserve">o participantes en las actividades de la fiesta (comparsas) </t>
    </r>
  </si>
  <si>
    <t xml:space="preserve"># de NNA beneficiados con los  estímulos entregados por el Programa Distrital de Apoyos Concertados y Alianzas Estratégicas desagregados por género y rango etario </t>
  </si>
  <si>
    <t>ENTIDAD: Orquesta Filarmónica de Bogotá - OFB</t>
  </si>
  <si>
    <t>Alcanzar 3.520.000 participantes en actividades artísticas, culturales y patrimoniales, con criterios de proximidad,</t>
  </si>
  <si>
    <r>
      <t># de actividades realizadas por la OFB destinadas a NNA 
# de NNA beneficiados y</t>
    </r>
    <r>
      <rPr>
        <sz val="11"/>
        <rFont val="Calibri"/>
        <family val="2"/>
      </rPr>
      <t>/</t>
    </r>
    <r>
      <rPr>
        <sz val="11"/>
        <rFont val="Trebuchet MS"/>
        <family val="2"/>
      </rPr>
      <t>o participantes en las actividades artísticas, culturales y patrimoniales de la OFB desagregados por género y rango etario</t>
    </r>
  </si>
  <si>
    <r>
      <t># de NNA beneficiados y</t>
    </r>
    <r>
      <rPr>
        <sz val="11"/>
        <rFont val="Calibri"/>
        <family val="2"/>
      </rPr>
      <t>/</t>
    </r>
    <r>
      <rPr>
        <sz val="11"/>
        <rFont val="Trebuchet MS"/>
        <family val="2"/>
      </rPr>
      <t>o participantes en las actividades de fomento de las preácticas artísticas desarrolladas por la OFB desagregados por género y rango etario</t>
    </r>
  </si>
  <si>
    <t>ENTIDAD: Fundación Gilberto Alzate Avendaño - FGAA</t>
  </si>
  <si>
    <t>Desarrollar y promocionar 150.000 prácticas artísticas y culturales en el DC</t>
  </si>
  <si>
    <r>
      <t># de actividades realizadas por la FGAA destinadas a desarrollar y promocionar las prácticas artísticas de  NNA 
# de NNA beneficiados y</t>
    </r>
    <r>
      <rPr>
        <sz val="11"/>
        <rFont val="Calibri"/>
        <family val="2"/>
      </rPr>
      <t>/</t>
    </r>
    <r>
      <rPr>
        <sz val="11"/>
        <rFont val="Trebuchet MS"/>
        <family val="2"/>
      </rPr>
      <t>o participantes en las actividades artísticas, culturales y patrimoniales de la FGAA desagregados por género y rango etario</t>
    </r>
  </si>
  <si>
    <t>0656 - Realización de actividades artísticas y culturales</t>
  </si>
  <si>
    <t>Realización 50.000 actividades artísticas y culturales</t>
  </si>
  <si>
    <t># de casos de embarazo adolescentes (10 a 14 años)  registrados
Actividades desarrolladas orientadas a la prevención del abuso sexual infantil
Formación  de los actores institucionales sobre abuso sexual infantil</t>
  </si>
  <si>
    <t>95% de cumplimiento para los biológicos Hepatitis A y Rotavirus.</t>
  </si>
  <si>
    <t>Cobertura de los biológicos Hepatitis A y Rotavirus
# de niños  y niñas menores de un año de edad vacunados preventivamente con el biológico Hepatitis A,  y Rotavirus</t>
  </si>
  <si>
    <t xml:space="preserve">Aplicar 20.000 vacunas contra neumococo para recién nacidos de sisben 1 y 2. </t>
  </si>
  <si>
    <t xml:space="preserve">Cobertura del biológico Neumococo
# de vacunas contra el Neumococo aplicadas </t>
  </si>
  <si>
    <t>Actividades realizadas para garantizar el funcionamiento y cobertura de la Línea 106
# de NNA atendidos por la Línea 106 mediante sus dos medios de empleo (telefónico y chat) 
Principales motivos de consulta de los NNA (razón de la llamada) 
Registro de las localidades que más llaman a la Línea 106 y caracterización de los NNA que llaman por género y rango de edad</t>
  </si>
  <si>
    <t>Acciones dirigidas al monitoreo de la desnutrición global en NNA de la ciudad en los diferentes ámbitos en los que se desarrolla la vida de los NNA 
# de NNA beneficiados con sumplementación alimentaria desagregados por género, rango etario y localidad</t>
  </si>
  <si>
    <t xml:space="preserve">Aumentar la lactancia materna hasta los 4.7 meses de edad </t>
  </si>
  <si>
    <t>A junio  de 2010 se presentaron 23 casos de mortalidad materna, frente a 34 casos registrados para el mismo período de 2009, registrándose durante este lapso la disminución de 11  casos por este evento [Ultímas cifras preliminares disponibles en el sistema de información de la entidad con corte a 30 de junio de 2010]. Se precisa que estas cifras no son definitivas, son las últimas preliminares del trimestre con las cuales se dispone en el Sistema de Estadisticas Vitales de la Secretaría Distrital de Salud de Bogotá D.C. y en la actualidad se encuentran en proceso de revisión, análisis y depuración.</t>
  </si>
  <si>
    <t xml:space="preserve">De manera directa se beneficiaron 1.236 gestantes menores de 18 años atendidas en las 144 instituciones prestadoras de servicios de salud, de la red adscrita [Última cifra preliminar de población atendida con base en los registros depurados individuales de prestadores de servicios de salud [RIPS], con fecha de corte a 30 de junio 2010].  </t>
  </si>
  <si>
    <t>Nota técnica aclaratoria: Dado que el cálculo del indicador (tasa de mortalidad perinatal) requiere de datos oficiales, los cuelas son suministrados por el DANE anualmente al finalizar cada vigencia, no es posible calcular el % de gestión en periodos diferentes a un año.</t>
  </si>
  <si>
    <t>A junio de 2010, se presentaron 811  casos de mortalidad perinatal, frente a 787  casos en el mismo periodo 2009 y 863 casos para el 2008. En total se registró un incremento en 24  casos con respecto a 2009 y una disminución de 52 con respecto a 2008  [Últimas cifras preliminares disponibles en el sistema de información de la entidad con corte a 30 de junio de 2010]. Se precisa que estas cifras no son definitivas, son las últimas preliminares del trimestre con la cuales se dispone en el Sistema de Estadisticas Vitales de la Secretaría Distrital de Salud de Bogotá D.C. y en la actualidad se encuentran en proceso de revisión, análisis y depuración.</t>
  </si>
  <si>
    <t xml:space="preserve">Secretaría Distrital de Salud de Bogotá D.C., Dirección de Salud Pública, Área de Vigilancia en Salud Pública: Sistema de Vigilancia Alimentaria y Nutricional [SISVAN]. </t>
  </si>
  <si>
    <t>Secretaría Distrital de Salud de Bogotá D.C., Dirección de Salud Pública, Área de Vigilancia en Salud Pública: Sistema de  Vigilancia Alimentaria y Nutricional [SISVAN].</t>
  </si>
  <si>
    <t>Secretaría Distrital de Salud de Bogotá D.C., Dirección de Salud Pública, Área de Vigilancia en Salud Pública: Sistema de Vigilancia Alimentaria y Nutricional [SISVAN].</t>
  </si>
  <si>
    <t>Secretaría Distrital de Salud de Bogotá D.C., Dirección de Salud Pública, Área de Vigilancia en Salud Pública: Sistema de Información Ambito Laboral Plan de Intervenciones Colectivas.</t>
  </si>
  <si>
    <t>Secretaría Distrital de Salud de Bogotá D.C., Dirección de Salud Pública, Área de Acciones en Salud: Sistema de Información Ambito Laboral Plan de Intervenciones Colectivas.</t>
  </si>
  <si>
    <t>Secretaría Distrital de Salud de Bogotá D.C., Dirección de Salud Pública, Área de Acciones en Salud: Registro de Información  de prestación de servicios en salud SDS [RIPS].</t>
  </si>
  <si>
    <t>Secretaría Distrital de Salud de Bogotá D.C. Dirección de Planeación y Sisitemas, Área de Análisis, Programación y Evalaución: Registro de Información  de Prestación de Servicios en salud SDS [RIPS].</t>
  </si>
  <si>
    <t xml:space="preserve">Secretaría Distrital de Salud de Bogotá D.C., Dirección de Planeación y Sistemas, Área de Análisis, Programación y Evaluación: Base de Datos Caracterización Grupo de Información Salud a su Casa - SQL SERVER 2008
</t>
  </si>
  <si>
    <t>Secretaría Distrital de Salud de Bogotá D.C., Dirección de Salud Pública, Área de Vigilancia en Salud Pública:  Sistema de Estádisticas Vitales, Cifras Preliminares.
Para los niños niñas y adolescentes atendidas-os en las 144 IPS  la fuente son: Los registros individuales de prestadores de servicios de salud [RIPS]</t>
  </si>
  <si>
    <t>Trimestral.</t>
  </si>
  <si>
    <t xml:space="preserve">Secretaría Distrital de Salud de Bogotá D.C., Dirección de Salud Pública, Área de Vigilancia en Salud Pública: Sistema de informacion de Vigilancia alimentaria y nutricional [SISVAN]. </t>
  </si>
  <si>
    <t># de NNA beneficiarios del IDIRPON apoyados con alimentación desagregados por localidad, género y rango etario</t>
  </si>
  <si>
    <t>Atender de manera integral e institucionalizada 1.322 niños y niñas habitantes de calle garantizando el derecho de educación, alimentación y desarrollo personal.
Operar 4 unidades de protección integral de paso, sin habitación, para 570 niños y niñas habitantes de calle</t>
  </si>
  <si>
    <r>
      <rPr>
        <sz val="11"/>
        <color indexed="8"/>
        <rFont val="Calibri"/>
        <family val="2"/>
      </rPr>
      <t>•</t>
    </r>
    <r>
      <rPr>
        <sz val="7.7"/>
        <color indexed="8"/>
        <rFont val="Calibri"/>
        <family val="2"/>
      </rPr>
      <t xml:space="preserve"> </t>
    </r>
    <r>
      <rPr>
        <sz val="11"/>
        <color theme="1"/>
        <rFont val="Calibri"/>
        <family val="2"/>
      </rPr>
      <t>Atender de manera integral 450 niños y niñas  en situación de vida en calle en  modalidad institucionalizada
•  Atender de manera integral 213 niños y niñas en situación de vida en calle en  modalidad de externado</t>
    </r>
  </si>
  <si>
    <t xml:space="preserve"># de NNA en situación de vida en calle atendidos en modalidad institucionalizada y en modalidad externado desagregados por género y rango etario
</t>
  </si>
  <si>
    <t>Atender de manera integral e institucionalizada 1.980 jóvenes habitantes de calle.
(La atención integral consiste en la prestación de servicios calificados de vivienda, dotación, alimentación, seguimiento nutricional, escuela formal, capacitación tecnológica, instrucción musical, deportiva, recreación, servicios de trabajo social (registro civil, documentos), acercamiento a la familia, apoyo para conseguir becas y estudios superiores)
Operar 5 unidades de protección integral de paso, sin habitación, para 2.100 jóvenes habitantes de calle.
Vincular a 6.000 jóvenes integrantes de pandillas a procesos de educación</t>
  </si>
  <si>
    <t>6 - 13 años: Infancia: 25.748 niñas y 25.202 niños.
14 - 17 años: Adolescencia: 14.369 mujeres y 13.327 hombres.
Total personas atendidas: 78.646 discriminadas así: 40.117 mujeres y 38.529 hombres.</t>
  </si>
  <si>
    <t>Presupuesto Vigente
(millones $)</t>
  </si>
  <si>
    <t>Ejecución primer trimestre
(millones $)</t>
  </si>
  <si>
    <t>204,754 niños, niñas y jóvenes beneficiados y 745 actividades.</t>
  </si>
  <si>
    <t>509 - Fomento de las Prácticas Artísticas</t>
  </si>
  <si>
    <t>ENTIDAD: Fundación Gilberto Alzate Avendaño</t>
  </si>
  <si>
    <t>0478 - Desarrollo y promoción de practicas artísticas y culturales en el DC</t>
  </si>
  <si>
    <t>Sector: Hábitat</t>
  </si>
  <si>
    <t>ENTIDAD: Unidad Administrativa Especial de Servicios Públicos - UAESP</t>
  </si>
  <si>
    <t>Transformación urbana positiva</t>
  </si>
  <si>
    <t>Sistemas generales de servicios públicos</t>
  </si>
  <si>
    <t>584 Gestión integral de residuos sólidos para el Distrito Capital y la Región</t>
  </si>
  <si>
    <t>Sector: Gobierno</t>
  </si>
  <si>
    <t>ENTIDAD: Secretaría Distrital de Gobierno</t>
  </si>
  <si>
    <t>CONSTRUCCIÓN DE PAZ Y RECONCILIACIÓN</t>
  </si>
  <si>
    <t xml:space="preserve">ATENCIÓN INTEGRAL A LA POBLACIÓN DESPLAZADA </t>
  </si>
  <si>
    <t>Ofrecer atención complementaria y orientación integral a 8.000 familias adicionales de población desplazada por año.</t>
  </si>
  <si>
    <t>295              Atención integral a la población desplazada</t>
  </si>
  <si>
    <t>BOGOTA SEGURA Y HUMANA</t>
  </si>
  <si>
    <t xml:space="preserve">SISTEMA DISTRITAL DE JUSTICIA </t>
  </si>
  <si>
    <t xml:space="preserve">Garantizar 120 cupos en programas de servicio social gratuito para la ejecución de medidas de la pena, para los adolescentes infractores;  </t>
  </si>
  <si>
    <t>355  Fortalecimiento a la justicia formal en Bogotá D.C.</t>
  </si>
  <si>
    <t>Atender 1500 casos al año mediante la asesoria y la representación jurídica especializada desde un enfoque de derechos con perspectiva de géneros que permita garantizar, reconocer y  restituir los derechos de las mujeres, niñas y adolescentes.</t>
  </si>
  <si>
    <t xml:space="preserve">Garantizar 500 cupos para el cumplimiento de sancio-nes en medio cerrado para adolescentes infractores  ;  </t>
  </si>
  <si>
    <t>TODA LA VIDA INTEGRALMENTE PROTEGIDOS</t>
  </si>
  <si>
    <t>JÓVENES VISIBLES CON DERECHOS Y RESPONSABILIDADES</t>
  </si>
  <si>
    <t>Vincular a 15.000 jóvenes en situación de vulnerabilidad en actividades por la vida, la libertad y la seguridad</t>
  </si>
  <si>
    <t>593            Atención a jóvenes en situación de vulnerabilidad vinculados en actividades por la vida, la libertad y la seguridad</t>
  </si>
  <si>
    <t>ATENCIÓN AL PROCESO DE DESMOVILIZACIÓN Y REINTEGRACIÓN</t>
  </si>
  <si>
    <t>295.845 niños, niñas y adolescentes beneficiados</t>
  </si>
  <si>
    <t>19,500 (Desfile Metropolitano de Comparsas Infantiles: 12,000 entre participantes y espectadores; en las Fiestas de Niñas y Niños 7,000; y en los Recorridos aproximadamente 500 niñas y niños)</t>
  </si>
  <si>
    <t>Se avanzó en el  81% en el desarrollo de el Lineamiento Pedagógico Distrital Que orienten el componente de educación inicial para la atención integral en primera infancia según el artículo 29 de la Ley 1098 de 2006.</t>
  </si>
  <si>
    <t>El modelo beneficia al total de la población en primera infancia</t>
  </si>
  <si>
    <t>No se caracteriza la población por ser acuerdos con las comunidades.</t>
  </si>
  <si>
    <t xml:space="preserve">Se realizaron 683 verificaciones  a Jardines Infantiles del Distrito Capital, en cumplimiento de estándares de calidad bajo el marco normativo del Decreto 057 y la Resolución 0325 de 2009.
En el marco del Sistema Integrado de Gestión y en desarrollo de la estructura normativa para la Asesoría, Inspección, Vigilancia y Control de Instituciones o establecimientos públicos y privados, se formuló 5 procedimientos: Asesoría Técnica e inscripción,  Inspección y Vigilancia, Control, Notificaciones y Recursos. </t>
  </si>
  <si>
    <t>0-5 años:97.405 niños y niñas</t>
  </si>
  <si>
    <t xml:space="preserve">Formados 19.953 adolescentes y jovenes en DSR </t>
  </si>
  <si>
    <t>14-17 años: 
Masculino 4,565
Femenino 15,388</t>
  </si>
  <si>
    <t xml:space="preserve">Informados y sensibilizados 81.877 adolescentes y jovenes </t>
  </si>
  <si>
    <t>14-17 años: 
Masculino 17,741
Femenino 64,136</t>
  </si>
  <si>
    <t xml:space="preserve">Formados 19.915 adolescentes y jovenes en prevención del consumo de sustancias psicoactivas a </t>
  </si>
  <si>
    <t>14-17 años: 
Masculino 4.659
Femenino 15.256</t>
  </si>
  <si>
    <t>A la fecha no se registra avances en esta meta. No obstante, se contrató el recurso humano necesario para realizar el proceso de convocatoria para las inicativas programadas en 2010, que se ejecutarán mediante convenio que se proyecta celebrar a comienzos del segundo semestre, así mismo se realizó una adición al convenio celebrado en al vigencia 2009.</t>
  </si>
  <si>
    <t>No se registran avances en esta meta.</t>
  </si>
  <si>
    <t>Suministrados  almuerzos diarios a 13.872 NNA, jovenes, madres gestantes, lactantes, adultos y las familias que se encuentran en extrema pobreza y vulnerabilidad.</t>
  </si>
  <si>
    <t>0 a 5 años:
1.377 Niñas  1.427 Niños
6 a 13 años: 
3.797 Niñas  3.838 Niños
14 a 17 años: 
1.703 Mujeres 1.730 Hombres</t>
  </si>
  <si>
    <t>Suministrada alimentación a  3.067 beneficiarios del IDIPRON.</t>
  </si>
  <si>
    <t>8 a 13 años: 
356 Niñas y 
501 Niños
14 a 17 años: 
372 Mujeres y  
1838 Hombres</t>
  </si>
  <si>
    <t>- Atendidos de manera integral 457 niños y niñas  en situación de vida en calle en  modalidad institucionalizada
- Atendidos de manera integral 400 niños y niñas en situación de vida en calle en  modalidad de externado</t>
  </si>
  <si>
    <t>Institucionalizada:
 8 a 13 años: 
265 Niñas y 192 Niños 
En externado: 
8 a 13 años: 
91 Niñas y 309 Niños</t>
  </si>
  <si>
    <t>•  Atendidos de manera integral 412 adolescentes y jóvenes en situación de vida en calle en  modalidad institucionalizada.
•  Atendidos de manera integral  729 adolescentes y jóvenes en situación de vida en calle en  modalidad de externado.
•  Integrados en procesos de educación formal, no formal y en talleres ocupacionales a 1.069 adolescentes y jóvenes pandilleros.</t>
  </si>
  <si>
    <t>Institucionalizada: 
14 a 17 años 
131 Mujeres y  281 Hombres
En externado: 
14 a 17 años 
241 Mujeres y  488 Hombres
Pandilleros: 
14 a 17 años 
1.069 Hombres</t>
  </si>
  <si>
    <t>Se da incio al proceso de Investigación de Problemática del fenómeno callejero y en alta vulnerabilidad social. Este proceso se adelanta con 3,067 personas.</t>
  </si>
  <si>
    <t>8 a 13 años: 356 Niñas y 501 Niños
14 a 17 años: 372 Mujeres y  1838 Hombres</t>
  </si>
  <si>
    <t>Adecuadas,  mantenidas y dotadas 31 Unidades Educativas y Dependencias del IDIPRON</t>
  </si>
  <si>
    <t>8 a 13 años: 
356 Niñas y 501 Niños
14 a 17 años: 
372 Mujeres y 1.838 Hombres</t>
  </si>
  <si>
    <t>Asegurados en 25 Unidades Educativas y dependencias servicios de apoyo operativo y vigilancia continuo diurno y nocturno</t>
  </si>
  <si>
    <t>8 a 13 años: 
356 Niñas y 501 Niños
14 a 17 años:
 372 Mujeres y  1.838 Hombres</t>
  </si>
  <si>
    <t>Implementado en un 66.2% una metodología informática que dinamice y estimule los procesos estratégicos, misionales, de apoyo y evaluación que se hacen efectivos en las diferentes unidades educativas y dependencias del IDIPRON.</t>
  </si>
  <si>
    <t>Sistema de Registro de Beneficiarios-SIRBE</t>
  </si>
  <si>
    <t>MENSUAL</t>
  </si>
  <si>
    <t>Subdirección de Infancia y Adolesencia Feliz y Protegida</t>
  </si>
  <si>
    <t>Sistema de Registro de Beneficiarios - SIRBE</t>
  </si>
  <si>
    <t>sistema de registro de beneficiarios  - SIRBE</t>
  </si>
  <si>
    <t>Dirección de Gestión Corporativa.</t>
  </si>
  <si>
    <t>En la parte superior del formato encontrará el link de los sectores que deben diligenciar el formato, con el fin de agilizar su busqueda, de click sobre el boton y diligecie lo correspondiente a las entidades de su sector.
Los rangos que deben ser actualizados corresponden a los incluidos en los numerales 10 y 11.
Anexo a esta matriz debe incluirse un documento por entidad, que explique las razones sobre el porcentaje de ejecución alcanzado, tanto en los casos en que se ejecutaron mayores recursos como aquellos en los que se invirtio menos presupuesto del programado, así como la argumentación, del por que no se alcanzaron o superaron las metas programadas para el periodo de análisis (varía dependiendo de los resultados obtenidos).</t>
  </si>
  <si>
    <t>289 Promover los derechos humanos, la participación y la convivencia en el sistema educativo oficial</t>
  </si>
  <si>
    <t>Mejoramiento de la infraestructura educativa, Educacion de calidad y pertinencia, Acceso y permanencia a la educacion, Toda la vida integralmente protegidos, Bogota Sana</t>
  </si>
  <si>
    <t>Integral (1)</t>
  </si>
  <si>
    <t>Total Sector</t>
  </si>
  <si>
    <t>Sector: Integración Social</t>
  </si>
  <si>
    <t># de NNA que son beneficiados por el subsisio desagregados por localidad y estrato</t>
  </si>
  <si>
    <t>Capacitación</t>
  </si>
  <si>
    <t>Capacitación, bienestar y vivienda para el personal de la Policía Metropolitana de Bogotá</t>
  </si>
  <si>
    <t>Prevención de Conflictos Urbanos Las Violencias y el Delito</t>
  </si>
  <si>
    <t>Prevención de conflictos urbanos, las violencias y el delito</t>
  </si>
  <si>
    <t>Sector: Ambiente</t>
  </si>
  <si>
    <t>ENTIDAD: Jardín Botánico José Celestino Mutis</t>
  </si>
  <si>
    <t>Educación de calidad y pertinencia para vivir mejor</t>
  </si>
  <si>
    <t>Educación para conservar y saber usar</t>
  </si>
  <si>
    <t xml:space="preserve">Alcanzar 1.200.000 visitantes al Jardín Botánico José Celestino Mutis y a las aulas ambientales administradas por la Secretaría Distrital de Ambiente </t>
  </si>
  <si>
    <t>Procesos de Educación y Cultura para la conservación y uso sostenible de la biodiversidad del Distrito Capital.</t>
  </si>
  <si>
    <t>Otorgar estímulos enmarcados dentro del Programa Distrital de Apoyos Concertados y Alianzas Estratégicas,  para proyectos de infancia y adolescencia relacionados con patrimonio cultural</t>
  </si>
  <si>
    <t xml:space="preserve">Identificar 20.000 niñas y niños trabajadores, para promover la desvinculación laboral y su inclusión y permanencia en el sistema educativo. [Sensibilización para la prevención del trabajo infantil en espacios distintos a la escuela]  </t>
  </si>
  <si>
    <t xml:space="preserve">Identificar 8.670 jóvenes trabajadores para la generación de condiciones de trabajo protegido </t>
  </si>
  <si>
    <t>620-Atención de Población Vinculada.</t>
  </si>
  <si>
    <t>Hasta la fecha no se han programado recursos para este componente de infancia-adolescencia</t>
  </si>
  <si>
    <t>Alcanzar 290.000 visitantes atendidos a través de interpretación ambiental, foros, eventos, exposiciones, actividades externas, docentes vinculados en procesos de cualificación y actualización y participantes en el monitoreo del PRAE de los colegios asesorados.</t>
  </si>
  <si>
    <t xml:space="preserve">TOTAL BOGOTA POSITIVA: </t>
  </si>
  <si>
    <t>Salud Para la Vida Digna</t>
  </si>
  <si>
    <t>Lograr la mejoría del estado nutricional de 3.200 personas menores de 7 años condesnutrición aguda, gestantes y recien nacidos con bajo peso al nacer notificados al SISBEN y con investigación epidemiológica de campo de control</t>
  </si>
  <si>
    <t>Promoción de una Alimentación Sana</t>
  </si>
  <si>
    <t>Incrementar en un 10% la prevalencia de lactancia materna exclusiva a los seis meses de edad</t>
  </si>
  <si>
    <t>Suplementar a 300.000 niños o niñas menores de 12 años con sulfato ferroso</t>
  </si>
  <si>
    <t>Reducir la mortalidad infantil a menos de 12 por mil nacidos vivos</t>
  </si>
  <si>
    <t>Ciudad para la Salud y la Vida</t>
  </si>
  <si>
    <t xml:space="preserve">Reducir en 100% los embarazos en adolescentes entre 10 y 14 años (abuso sexual) </t>
  </si>
  <si>
    <t xml:space="preserve">Inclusión de nuevos biológicos para el PAI de la ciudad así: Hepatitis A en población de 12 a 23 meses  y Rota virus de la población de 2 a 6 meses de edad. </t>
  </si>
  <si>
    <r>
      <t xml:space="preserve">Garantizar 20 mil vacunas anuales contra neumococo para recién nacidos de sisben 1 y 2 (Concejo - Acuerdo Plan de desarrollo). </t>
    </r>
  </si>
  <si>
    <t>Fortalecer la línea amiga de las niñas, niños y adolescentes 106 [atención 24 horas]</t>
  </si>
  <si>
    <t>Jóvenes visibles, con derechos y responsabilidades</t>
  </si>
  <si>
    <t>Atender de manera integral e institucionalizada 1.980 jóvenes habitantes de calle.
Operar 5 unidades de protección integral de paso, sin habitación, para 2.100 jóvenes habitantes de calle.
Vincular a 6.000 jóvenes integrantes de pandillas a procesos de ed</t>
  </si>
  <si>
    <t>548 - Atención Integral y Educación Especial a Jóvenes en Situación de Vida en Calle, Pandilleros y en Alto Riesgo</t>
  </si>
  <si>
    <t>Bogotá sociedad del conocimiento</t>
  </si>
  <si>
    <t>Formación y promoción del espíritu científico, innovador y del conocimiento y habilidades de la población en salud</t>
  </si>
  <si>
    <t>Construir y actualizar anualmente las líneas de investigación del sector salud</t>
  </si>
  <si>
    <t>7055 - Sistemática investigación del fenómeno Callejero</t>
  </si>
  <si>
    <t>4021 Generación de ingresos y oportunidades como herramienta de recuperación para la juventud en alta vulnerabilidad social</t>
  </si>
  <si>
    <t xml:space="preserve">                                 H                          M
6-13                       318                       279
14 - 17                   422                       408</t>
  </si>
  <si>
    <t xml:space="preserve">              H              M
0 - 5 años      28668    26196   </t>
  </si>
  <si>
    <t xml:space="preserve">            H         M
0 - 5    440        254</t>
  </si>
  <si>
    <t xml:space="preserve">6-13 años        181
14-17 años        394
Los 17004 niños y niñas, no es posible caracterizarlos ya que la consulta se hace de manera virtual. </t>
  </si>
  <si>
    <t xml:space="preserve">                           H              M
0 - 5 años     28,632    26,160
</t>
  </si>
  <si>
    <t>1.261 adolescentes entre 15 y 18 años  5.044 personas beneficiadas de manera indirecta. [Ultima cifra disponible en el sistema de información con fecha de corte a 31 de diciembre de 2009]</t>
  </si>
  <si>
    <t xml:space="preserve">
352.667 niños, niñas y adolescentes gestantes pobres no asegurados, atendidos en servicios de salud durante el año 2009. De manera específica  se  atendieron 276.505 individuos únicos  pobres no asegurados (vinculados) y 76.162 individuos a través de los servicios no POSs. De 0-5 años se atendieron 133.275 vinculados; de 6 a 13, 81.553 y de 14 a 18, 61.677 vinculados.  Para los servicios no POSs se atendieron 32.611 niños y niñas de 0 a 5 años; 24.576, de 6 a 13 años y 18.975, de 14 a 18 años. [Última información  disponible  en el Sistema de información de la Entidad con  fecha de corte a diciembre 31 de 2009].</t>
  </si>
  <si>
    <t>En total se atendieron 70.597 menores de 18 años de los cuales 67.793 son   niños y niñas entre 1 y 5 años y 3.064  niños y niñas de 6 a 18 años en situación de discapacidad quienes  recibieron atenciones en salud de manera gratuita  [Ultima cifra disponible en el sistema de información de la Entidad, con fecha de corte a diciembre 31 de 2009, correspondiente a la red adscrita y red complementaria, quedando pendiente información de Empresas Promotoras de Salud Subsidiadas EPS-, la cual se haya en proceso de certificación por parte de la firma interventora].</t>
  </si>
  <si>
    <t xml:space="preserve">Se caracterizaron y atendieron de manera integral  479.528 familias, conformadas por 1554.671 personas. De esta población se identificaron un total de 539.751 niños, niñas y adolescentes  entre 0 y 18 años, que corresponden al 34.72% del total de la población caracterizada.  [Ultima cifra  disponible en el sistema de información de la Entidad, con fecha de corte a diciembre  31 de 2009] </t>
  </si>
  <si>
    <t>Hombres: 357.520
Mujeres: 343.500
Ciclo 1 (0-5):  42.883
Ciclo 2 (6-13): 544.505
Ciclo 3 (14-17): 113.632</t>
  </si>
  <si>
    <t>Hombres:18.828
Mujeres: 18.088
Ciclo 1 (0-5):  1.922
Ciclo 2 (6-13):  24.936
Ciclo 3 (14-17):  10.055</t>
  </si>
  <si>
    <t>Hombres:5.736
Mujeres: 5.511
Ciclo 1 (0-5):  0
Ciclo 2 (6-13):  198
Ciclo 3 (14-17):  11.049</t>
  </si>
  <si>
    <t xml:space="preserve">0 a 5 años: 1637 Mujeres y 1313 Hombres
6 a 13 años: 2439 Mujeres y 2398 Hombres
14 a 17 años: 915 Mujeres y 837 Hombres
</t>
  </si>
  <si>
    <t>8 a 13 años: 397 Mujeres y 842 Hombres
14 a 17 años: 502 Mujeres y  3491 Hombres</t>
  </si>
  <si>
    <t>8 a 13 años: 397 Mujeres y 842 Hombres</t>
  </si>
  <si>
    <t>14 a 17 años: 502 Mujeres y  3491 Hombres</t>
  </si>
  <si>
    <t>Organización armónica administrativa</t>
  </si>
  <si>
    <t xml:space="preserve">Adelantar el 100% del proceso de desarrollo y fortalecimiento de la estructura de los sectores y entidades </t>
  </si>
  <si>
    <t>4006 - Fortalecimiento de la infraestructura física de las unidades educativas y las dependencias</t>
  </si>
  <si>
    <t>7243 - Servicios De Apoyo Operativo y De Seguridad a las Unidades Educativas y Dependencias</t>
  </si>
  <si>
    <t>640 -Modernización y Fortalecimiento de las Tecnologías de Información y Comunicaciones Tic</t>
  </si>
  <si>
    <t>Sector: Salud</t>
  </si>
  <si>
    <t>ENTIDAD: Secretaría Distrital de Salud - Fondo Financiero Distrital de Salud</t>
  </si>
  <si>
    <t>Bogotá Sana</t>
  </si>
  <si>
    <t>624 Salud al colegio</t>
  </si>
  <si>
    <t>SECTOR A  DILIGENCIAR:</t>
  </si>
  <si>
    <t>ENTIDAD: Orquesta Filarmónica de Bogotá</t>
  </si>
  <si>
    <t xml:space="preserve">Alcanzar 3.520.000 participantes en actividades artísticas, culturales y patrimoniales, con criterios de proximidad, </t>
  </si>
  <si>
    <t>513 - Fomento de la Música Sinfónica</t>
  </si>
  <si>
    <t>Fortalecimiento de organizaciones y redes sociales y familiares</t>
  </si>
  <si>
    <t>Participación y redes sociales para escuchar las voces rurales y urbanas para la garantía y restitución de los derechos</t>
  </si>
  <si>
    <t>Crear un consejo distrital y 20 consejos locales de niñas y niños</t>
  </si>
  <si>
    <t xml:space="preserve">0 - 5 : Niños 56 Niñas 80
6 - 14 : Niños 235 Niñas 261
TOTAL : 632
</t>
  </si>
  <si>
    <t>Seguridad Alimentaria y Nutricional</t>
  </si>
  <si>
    <t>Suministrar 146.000 apoyos  alimentarios  diarios a la población en inseguridad alimentaria y nutricional, priorizando en población vulnerable.</t>
  </si>
  <si>
    <t>Institucionalización de la Política Pública de Seguridad Alimentaria y Nutricional.</t>
  </si>
  <si>
    <t>Desarrollo institucional integral</t>
  </si>
  <si>
    <t>Fortalecimiento de la gestión institucional</t>
  </si>
  <si>
    <t>Construir 9 equipamientos para la materialización de las políticas de niñez y familia
Reforzar estructuralmente y actualizar en sismo resistencia 88 equipamientos del sector integración social</t>
  </si>
  <si>
    <t>514 Fortalecimiento de la gestión institucional</t>
  </si>
  <si>
    <t>PROYECCIONES DE POBLACIÓN PARA BOGOTÁ 2010</t>
  </si>
  <si>
    <t xml:space="preserve">1. </t>
  </si>
  <si>
    <t>TOTAL NNA 2010</t>
  </si>
  <si>
    <t>INDIVIDUOS</t>
  </si>
  <si>
    <t>Aumentar la lactancia materna hasta los seis meses de edad (Mandato del plan de desarrollo aprobado por acuerdo - Concejo)</t>
  </si>
  <si>
    <t>Identificar 20.000 niñas y niños trabajadores, para promover la desvinculación laboral y su inclusión y permanencia en el sistema educativo</t>
  </si>
  <si>
    <t>TOTAL SECTOR</t>
  </si>
  <si>
    <t>Sector: Cultura, Recreación y Deporte</t>
  </si>
  <si>
    <t>EJECUCIÓN 2009</t>
  </si>
  <si>
    <t>Metas Programadas</t>
  </si>
  <si>
    <t>Recursos Programados
(millones $)</t>
  </si>
  <si>
    <t>SEGUIMIENTO 2010</t>
  </si>
  <si>
    <t>Realizar el 100% de seguimiento a los casos denunciados de maltrato infantil, delitos sexuales contra niños, niñas y adolescentes remitidos  por las Comisarías de Familia a las entidades competentes del sistema judicial (Fiscalía general de la Nación) para investigación penal.</t>
  </si>
  <si>
    <t>*  Atender 350 personas /año en servicios especializados a mujeres víctimas de violencia intrafamiliar o sexual  y niños-as y adolescentes victimas de explotación sexual comercial.
*  Atender 455 cupos/año a niños y niñas con medidas de protección legal de acuerdo a la Ley 1098 de 2006 (Art. 51,53 y 198). Atender 275 grupos familiares en servicio de atención terapéutica</t>
  </si>
  <si>
    <t>Atender  5.100 Niñas, niños y adolescentes Contra la explotación laboral a través de los Centros Amar de Integración.</t>
  </si>
  <si>
    <t xml:space="preserve">No se cuenta con recursos suficientes para  el desarrollo del proceso de formación </t>
  </si>
  <si>
    <t xml:space="preserve">Acreditación de 16 Salas Amigas de la Familia Lactante </t>
  </si>
  <si>
    <t xml:space="preserve">Reacreditación de 12 Salas Amigas de la Famila Lactante </t>
  </si>
  <si>
    <t xml:space="preserve">Atender en 50.301 cupos de educación inicial a 58.921  niños  y niñas en eduación inicial </t>
  </si>
  <si>
    <t xml:space="preserve">735 niños y niñas incluidos en jardines infantiles </t>
  </si>
  <si>
    <t>Garantizar el funcionamiento de los Consejos locales y distrital de niños y niñas, articulando sus  acciones con las entidades públicas, privadas y del tercer sector, generando  recomendaciones y propuestas sobre los temas que interesan a los niños y niñas  de la  ciudad.</t>
  </si>
  <si>
    <t>*  Brindar 8.650  cupos mensuales  de bonos de apoyo alimentario a mujeres gestantes y lactantes con gestaciones únicas.
*  Brindar 100 cupos mensuales de bonos apoyo alimentario a mujeres gestantes y lactantes con gestaciones múltiples.
*  Brindar 2.200 cupos mensuales de bonos complementarios a la mujer gestante con bajo peso y a madres con hijos-as nacidos-as con bajo peso.</t>
  </si>
  <si>
    <t>Suministrar la atención en comedores comunitarios de 41.226 niños, niñas y adolescentes.</t>
  </si>
  <si>
    <t>Atender a 100.329 familias con derechos vulnerados a través de acceso a la justicia familiar y social,  promoción y restitución de derechos 
No se cuenta con recursos sufientes que permitan el cumplimiento de la meta.  Se desarrollaran acciones de coordinación tanto internas como externas que permitan la atención a familias.</t>
  </si>
  <si>
    <t>No tiene programación para la vigencia.  Se teminara la consolidación y firma de los acuerdos restantes de 2009</t>
  </si>
  <si>
    <t xml:space="preserve">Se proyecta formar 48.000 adolescentes; 14-17 años </t>
  </si>
  <si>
    <t>Se poryecta informar y sensibilizar a 80.000 adolescentes de 14-17 años.</t>
  </si>
  <si>
    <t xml:space="preserve">INFORMACIÓN PLAN DE DESARROLLO </t>
  </si>
  <si>
    <t>EJECUCIÓN 2008</t>
  </si>
  <si>
    <t>Mujeres
Hasta 19 años: 6.149
Entre 20 y 59 años=13.494
El indice de rotación es de 2,27</t>
  </si>
  <si>
    <t xml:space="preserve">Beneficiarios Comedores Comunitarios
0-17 años: 25,524 (H),  25,241 (M)
Beneficiarios Canasta 
0 - 17 años: 6,084 (H),  6,945(M)
</t>
  </si>
  <si>
    <t xml:space="preserve">
34.550  niños y niñas en jardines Infantiles, con servicios de vigilancia, aseo y preparación de alimentos. 
361 niños niñas por nuevos cupos de educación inicial por obras de remodelación y actualización sismoresistente</t>
  </si>
  <si>
    <t>0-5      M 568  H569
6-13    M 1.141   H 1.106
14-17   M 1.174     H 588</t>
  </si>
  <si>
    <t>51612 padres, madres y ciudadores formados</t>
  </si>
  <si>
    <t xml:space="preserve">830 maestras </t>
  </si>
  <si>
    <t>14-17: Femenino:41.680
14-17: Masculino: 10.824
total: 52.504</t>
  </si>
  <si>
    <t>14-17: Femenino:87.737
14-17: Masculino: 20.432
total: 108.169</t>
  </si>
  <si>
    <t>14-17: Femenino:21.722
14-17: Masculino: 6.291
total: 28.013</t>
  </si>
  <si>
    <t xml:space="preserve">14-17 años: se apoyaron 42 iniciativas juveniles en donde se benefician 10 jóvenes en promedio por cada iniciativa
</t>
  </si>
  <si>
    <t>Acciones de capacitación a la Policía Metropolitana de Bogotá, en particular a la Policía de Infancia y Adolescencia. 
# de agentes destinados a la policia de infancia y adolescencia y acciones para su sensibilización</t>
  </si>
  <si>
    <t>Acciones dirigidas a la prevención de conflictos urbanos, las violencias y el delito</t>
  </si>
  <si>
    <t>317 - Procesos de Educación y Cultura para la conservación y uso sostenible de la biodiversidad del Distrito Capital.</t>
  </si>
  <si>
    <t>Alcanzar 290.000 visitantes atendidos a través de interpretación ambiental, foros, eventos, exposiciones, actividades externas, docentes vinculados en procesos de cualificación y actualización y participantes en el monitoreo del PRAE de los colegios asesorados.
Formar 25.000 estudiantes y docentes de los colegios que se vinculen a los procesos de educación ambiental, en espacios como el Jardín Botánico y escenarios de la Estructura Ecológica Principal de Bogotá.</t>
  </si>
  <si>
    <t xml:space="preserve"># De NNA formados como gestores ambientales desagregados por género. 
# De Ecotalleres desarrollados y NNA participantes desagregados por rango etario y género. 
# De recorridos ambientales desarrollados y NNA participantes desagregados por rango etario y género. </t>
  </si>
  <si>
    <t>Trimestral</t>
  </si>
  <si>
    <t>Taquilla JBB
Reporte Así Avanzamos
Listados de asistencia eventos internos y externos.</t>
  </si>
  <si>
    <t>META PROGRAMADA 2010
(De acuerdo a lo que se ha reportado en la matriz presupuestal)</t>
  </si>
  <si>
    <t>Cada una de las hojas a las que llevan los link tienen en la parte superior un icono                             que permite regresar a la pagina principal.</t>
  </si>
  <si>
    <t xml:space="preserve">
                                 H         M
0-5 años           7635   7945
 6 - 13 años:       385      213
14 - 17 años:       365      244
18-26 años          116      79</t>
  </si>
  <si>
    <t xml:space="preserve">
                             H          M
0 - 5 años:         10          22     
6 - 13 años:       1858    1838
14 - 17 años:       307     305
18-26 años         3              1</t>
  </si>
  <si>
    <t xml:space="preserve">2. </t>
  </si>
  <si>
    <t xml:space="preserve">3. </t>
  </si>
  <si>
    <t>PROYECCIONES DE POBLACIÓN INFANTE Y ADOLESCENTE PARA BOGOTÁ 2010 - DESAGREGADA POR LOCALIDADES</t>
  </si>
  <si>
    <r>
      <t xml:space="preserve">POBLACIÓN DE NNA </t>
    </r>
    <r>
      <rPr>
        <b/>
        <sz val="13"/>
        <color indexed="10"/>
        <rFont val="Calibri"/>
        <family val="2"/>
      </rPr>
      <t>TOTAL</t>
    </r>
    <r>
      <rPr>
        <b/>
        <sz val="13"/>
        <color indexed="12"/>
        <rFont val="Calibri"/>
        <family val="2"/>
      </rPr>
      <t xml:space="preserve"> POR EDADES SIMPLES - 2010</t>
    </r>
  </si>
  <si>
    <r>
      <t xml:space="preserve">POBLACIÓN DE </t>
    </r>
    <r>
      <rPr>
        <b/>
        <sz val="13"/>
        <color indexed="10"/>
        <rFont val="Calibri"/>
        <family val="2"/>
      </rPr>
      <t>HOMBRES</t>
    </r>
    <r>
      <rPr>
        <b/>
        <sz val="13"/>
        <color indexed="12"/>
        <rFont val="Calibri"/>
        <family val="2"/>
      </rPr>
      <t xml:space="preserve"> POR EDADES SIMPLES - 2010</t>
    </r>
  </si>
  <si>
    <r>
      <t xml:space="preserve">POBLACIÓN DE </t>
    </r>
    <r>
      <rPr>
        <b/>
        <sz val="13"/>
        <color indexed="10"/>
        <rFont val="Calibri"/>
        <family val="2"/>
      </rPr>
      <t xml:space="preserve">MUJERES </t>
    </r>
    <r>
      <rPr>
        <b/>
        <sz val="13"/>
        <color indexed="12"/>
        <rFont val="Calibri"/>
        <family val="2"/>
      </rPr>
      <t>POR EDADES SIMPLES - 2010</t>
    </r>
  </si>
  <si>
    <r>
      <t xml:space="preserve">TOTAL </t>
    </r>
    <r>
      <rPr>
        <b/>
        <sz val="12"/>
        <color indexed="10"/>
        <rFont val="Calibri"/>
        <family val="2"/>
      </rPr>
      <t>GENERAL</t>
    </r>
  </si>
  <si>
    <r>
      <t xml:space="preserve">TOTAL </t>
    </r>
    <r>
      <rPr>
        <b/>
        <sz val="12"/>
        <color indexed="10"/>
        <rFont val="Calibri"/>
        <family val="2"/>
      </rPr>
      <t>HOMBRES</t>
    </r>
  </si>
  <si>
    <r>
      <t xml:space="preserve">TOTAL </t>
    </r>
    <r>
      <rPr>
        <b/>
        <sz val="12"/>
        <color indexed="10"/>
        <rFont val="Calibri"/>
        <family val="2"/>
      </rPr>
      <t>MUJERES</t>
    </r>
  </si>
  <si>
    <t>Modernizar y dotar el 40% del Planetario de Bogotá</t>
  </si>
  <si>
    <t>Alcanzar 135.000 niñas, niños y adolescentes participantes en las diferentes actividades de apropiación y divulgación científica y cultural</t>
  </si>
  <si>
    <t>Alcanzar el 40% en la construcción de los 3 escenarios culturales</t>
  </si>
  <si>
    <t>Alcanzar 10.000 participantes en actividades artísticas, culturales y del patrimonio</t>
  </si>
  <si>
    <t>Otorgar 25 apoyos a organizaciones sociales que fomenten transformaciones culturales en Bogotá</t>
  </si>
  <si>
    <t>Se proyecta que del total programado a atender en la meta plan, 569.338 asistentes sean niños y adolescentes.</t>
  </si>
  <si>
    <t xml:space="preserve">Aumentar  140 el número de escuelas de formaciòn deportiva </t>
  </si>
  <si>
    <t>11400/mes</t>
  </si>
  <si>
    <t>Construir  2 Escenarios de Deporte Extremo</t>
  </si>
  <si>
    <t>252.000 jóvenes (aproximadamente 250.000 jovenes vieron la exposicion de Rock al Parque "15 años de extrema convivencia" y 2.000 en el Festival Golpe tras Golpe, realizado mediante Apoyo concertado); 1.000 Niñas y niños (estimacion de beneficiados con en el convenio IDPC-IDEP)</t>
  </si>
  <si>
    <t>0-5    H 28    M59
6-13     H95       M196
14-17    H38    M93</t>
  </si>
  <si>
    <t xml:space="preserve">% de  niños y niñas menores de 5 años y en condición de discapacidad severa afiliados al régimen subsidiado y clasificados en los nivles I y II del SISBEN  a quienes se garantizó la cobertura en servicios no POSS y no POS desagregados por género y discapacidad </t>
  </si>
  <si>
    <t>Intervenciones realizadas a los NNA miembros de las familias que están focalizadas en los 351 microterritorios de la ciudad desagregados por género, rango etario y tipo de vulnerabilidad (en los casos en los que exista esta información, por ejemplo, desplazados)</t>
  </si>
  <si>
    <t>Reducir en 75% los embarazos en niñas entre 10 y 14 años (abuso sexual)</t>
  </si>
  <si>
    <t xml:space="preserve">Acciones dirigidas a prevenir el embarazo en niñas entre 10 y 14 años (abuso sexual)
# de niñas entre 10 y 14 años identificadas como gestantes en los servicios de la SDS
Comparación de las cifras de embarazo de 10 a 14 años entre la vigencia anterior y el reporte del trimestre que se está reportando (con el mismo corte de tiempo)
</t>
  </si>
  <si>
    <t xml:space="preserve">Acciones dirigidas a reducir el embarazo en adolescentes entre 15 y 19 años en el marco del proyecto Salud al Colegio
# de adolescentes entre 15 y 19 años identificadas como gestantes en los servicios de la SDS
Comparación de las cifras de embarazo de 15 a 19 años entre la vigencia anterior y el reporte del trimestre que se está reportando (con el mismo corte de tiempo)
</t>
  </si>
  <si>
    <t xml:space="preserve">Acciones dirigidas a reducir el embarazo en adolescentes entre 15 y 19 años en el marco del proyectoInstituciones saludables y amigables
</t>
  </si>
  <si>
    <t xml:space="preserve"># de NNA vacunados en los diferentes biológicos definidos en el PAI desagregados por </t>
  </si>
  <si>
    <t xml:space="preserve"> 24.9% de cumplimiento  tercera dosis de antipolio [VOP]
 24.9% de cumplimiento  DPT
 24.4% de cumplimiento B.C.G
 24.9% de cumplimiento Hepatitis
 24.9% de cumplimiento Haemophilus
 24.9% de cumplimiento  Triple viral
 24.5% de cumplimiento Fiebre Amarilla </t>
  </si>
  <si>
    <t xml:space="preserve"># de IED y jardínes infantiles intervenidos 
# de NNA beneficiados de manera directa e indirecta por el Programa Salud al Colegio en colegios y escuelas distritales y en jardines infantiles. </t>
  </si>
  <si>
    <t>Acciones dirigidas a la promoción de la Línea 106 por parte de los NNA
# De NNA atendidos durante el trimestre por la Línea 106 desagregados por género y rango etario
Principales motivos de llamada de los NNA a la Línea 106 desagregados por localidad</t>
  </si>
  <si>
    <t>Cobertura del Programa de Salud Oral (flúor, sellantes, control de placa y detartraje) en la población afiliada a los regímenes subsidiado y contributivo.
# de NNA beneficiados con la implementación de la estrategia desagregados por género y rango etario</t>
  </si>
  <si>
    <t>472-Construcción de escenarios y territorios culturales adecuados y próximos para la diversidad y la convivencia</t>
  </si>
  <si>
    <t xml:space="preserve">0 - 5          M  263   H 259
6 - 13       M330   H312  
14 - 17        M97    H43   
</t>
  </si>
  <si>
    <t xml:space="preserve">0 - 5    M 9   H 7    
6 - 13      M 18   H 11 
14 - 17      M 9    H 12
</t>
  </si>
  <si>
    <t>260 Inclusión social de la diversidad y atención a población vulnerable en la escuela</t>
  </si>
  <si>
    <t>Hombres: 7.203
Mujeres: 6.921
Ciclo 1 (0-5):  563
Ciclo 2 (6-13):  9.365
Ciclo 3 (14-17): 4.195</t>
  </si>
  <si>
    <t>Construcción de paz y reconciliación</t>
  </si>
  <si>
    <t>Derechos humanos, convivencia, democracia, participación, interculturalidad y equidad de género en el colegio.</t>
  </si>
  <si>
    <t>Implementar en 370 colegios distritales y con el apoyo de sus respectivas comunidades educativas, un programa permanente de sensibilización para promover y garantizar los derechos humanos, la convivencia, la democracia, la participación, la interculturali</t>
  </si>
  <si>
    <t xml:space="preserve">Se proyecta formar en prevención del consumo de sustancias psicoactivas a 25.000 adolescentes; jóvenes de 14-17 años </t>
  </si>
  <si>
    <t xml:space="preserve">Se proyecta apoyar 49 iniciativas de emprendimientos, producción y promoción cultural </t>
  </si>
  <si>
    <t>1.Atender de manera integral 450 Niños y niñas  en situación de vida en calle en  modalidad institucionalizada.
2. Atender de manera integral 213 niños y niñas en situación de vida en calle en  modalidad de externado.</t>
  </si>
  <si>
    <t>Realizar  Investigación de Problemática del fenómeno callejero y en alta vulnerabilidad social</t>
  </si>
  <si>
    <t>Adecuar mantener y dotar 26 Unidades Educativas y Dependencias del IDIPRON</t>
  </si>
  <si>
    <t>Asegurar en 26 Unidades Educativas y dependencias servicios de apoyo operativo y vigilancia continuo diurno y nocturno</t>
  </si>
  <si>
    <t>Implementar en 60 % Una metodología informática que dinamice y estimule los procesos estratégicos, misionales, de apoyo y evaluación que se hacen efectivos en las diferentes unidades educativas y dependencias del IDIPRON.</t>
  </si>
  <si>
    <t>Lograr el 40% de no reincidencia en la utilización de la violencia intrafamiliar y el maltrato infantil para el manejo de los conflictos, atendidos por comisarías de familia.</t>
  </si>
  <si>
    <t>A junio de 2012 afiliar a 892.415 nuevos ciudadanos al Régimen Subsidiado.</t>
  </si>
  <si>
    <t>Incrementar en un 25% la cobertura del Programa de Salud Oral (flúor, sellantes, control de placa y detartraje) en la población afiliada a los regímenes subsidiado y contributivo.</t>
  </si>
  <si>
    <t>Cubrir 68 instituciones para la atención de menores en protección con la estrategia de gestión y acción en salud pública</t>
  </si>
  <si>
    <t>Tener implementada en el 100% de las Empresas Sociales del Estado adscritas a la SDS las estrategias de atención materno infantil AIEPI, IAMI y IAFI infantil AIEPI, IAMI y IAFI.</t>
  </si>
  <si>
    <t>7194 - Atención alimenticia a los asistidos</t>
  </si>
  <si>
    <t>Infancia y adolescencia feliz y protegida integralmente</t>
  </si>
  <si>
    <t>Monitorear la reducción de desnutrición global en niños menores de 5 años.</t>
  </si>
  <si>
    <t>627 - Comunidades saludables</t>
  </si>
  <si>
    <t>630 - Salud al trabajo</t>
  </si>
  <si>
    <t>Garantía del aseguramiento y atención en salud</t>
  </si>
  <si>
    <t>623-Salud a su casa</t>
  </si>
  <si>
    <t>Cubrir a 425 micro territorios con acciones preventivas de salud para el núcleo familiar, con énfasis en niños y niñas</t>
  </si>
  <si>
    <t>N/A</t>
  </si>
  <si>
    <t>Consolidar 126 escuelas deportivas entre especialización, iniciación y perfeccionamiento</t>
  </si>
  <si>
    <t>Se proyecta que de los 900 deportistas a apoyar, 165 sean adolescentes.</t>
  </si>
  <si>
    <t>Garantizar la Realización de la Fiesta de Niñas y Niños 2010</t>
  </si>
  <si>
    <t xml:space="preserve">Entrega de dos (2) premios en la modalidad danza tradicional y de proyección folclórica colombiana, un (1) premio en la modalidad salsa y dos (2) premios en la modalidad danza urbana, en la categoria niños y niñas de estos concursos. </t>
  </si>
  <si>
    <t>Implementar estrategias tendientes a la erradicación del trabajo infantil de la población recicladora de oficio en condiciones de pobreza y vulnerabilidad. META: vincular a 1200 menores, hijos de recicladores, a programas tendientes a la erradicación del trabajo infantil</t>
  </si>
  <si>
    <t>120 niñas y niñas</t>
  </si>
  <si>
    <t>60 cupos</t>
  </si>
  <si>
    <t>El total propuesto del proyecto es la vinculación de 4.000 jóvenes en las acciones del proyecto de las cuales se estima que 1.500 serán niños, niñas y adolescentes y los demás estarán entre los 18 y 26 años.</t>
  </si>
  <si>
    <t xml:space="preserve"># de instituciones para la atención de menores en protección con la estrategia de gestión y acción en salud pública.
# de NNA beneficiados y que se encuentran con medida de protección del ICBF. </t>
  </si>
  <si>
    <t>Acciones dirigidas a promover la práctica de alguna actividad física de forma habitual en la ciudad, particularmente NNA.
# de NNA  vinculados en estrategias de promoción de la actividad física</t>
  </si>
  <si>
    <t>% de avance en la implementación de las estrategias de atención materno infantil AIEPI, IAMI y IAFI infantil AIEPI, IAMI y IAFI
# de NNA beneficiados con la implementación de la estrategia de atención materno infantil AIEPI, IAMI y IAFI infantil AIEPI, IAMI y IAFI</t>
  </si>
  <si>
    <t>Acciones desarrolladas para lograr la implementación de las estrategias de atención materno infantil AIEPI, IAMI y IAFI infantil AIEPI, IAMI y IAFI en las ESE distritales</t>
  </si>
  <si>
    <t xml:space="preserve">Reducir a 11.4% la tasa de bajo peso al nacer </t>
  </si>
  <si>
    <t># de casos de bajo peso al nacer registrados durante el trimestre y comparación con respecto al  mismo período en el año inmediatamente anterior. 
Acciones desarrolladas para lograr la reducción de la tasa de bajo peso al nacer en los niños y niñas que nacen en la ciudad.</t>
  </si>
  <si>
    <t>Acciones desarrolladas para lograr la implementación de las estrategias de atención materno infantil AIEPI, IAMI y IAFI infantil AIEPI, IAMI y IAFI en el marco del proyecto Comunidades Saludables.</t>
  </si>
  <si>
    <t>Acciones desarrolladas para el monitoreo de la desnutrición global en niños y niñas menores de 5 años de la ciudad. (SISVAN, suplementación)</t>
  </si>
  <si>
    <t>Acciones desarrolladas para lograr la reducción de la tasa de bajo peso al nacer en los niños y niñas que nacen en la ciudad (programas de plan canguro, crecimietno y desarrollo y a intervenciones de apoyo alimentario y nutricional del Distrito Capital)</t>
  </si>
  <si>
    <t xml:space="preserve">Controlar la prevalencia de infección por VIH en población gestante no asegurada a través de la asesoría y asitencia técnica al 100% de las IPS </t>
  </si>
  <si>
    <t>Acciones dirigidas a controlar la prevalencia de infección por VIH en población gestante no asegurada menores de 18 años</t>
  </si>
  <si>
    <t>% de aumentó de las denuncias de violencia intrafamiliar y violencia sexual, con respecto a la información registrada en el SIVIM 
Intervenciones desarrolladas para promover comportamientos protectores y activos frente a las violencias</t>
  </si>
  <si>
    <t>Acciones desarrolladas para disminuir la tasa de trabajo infantil en la ciudad
# de NNA identificados como trabajadores infantiles en la ciudad desagregados por género y rango etario
# de NNA desvinculados de la situación de trabajo y beneficiarios de programas de restablecimiento de sus derechos</t>
  </si>
  <si>
    <t># de casos de mortalidad  en menores de 1 año registrados durante el trimestre y comparación con respecto al  mismo período en el año inmediatamente anterior. 
Acciones desarrolladas para lograr la reducción de la tasa de mortalidad en los niños y niñas menores de un año de la ciudad
# de niños y niñas menores de un año afiliados al Regimen Subsidiado.</t>
  </si>
  <si>
    <t># de ciudadanos afiliados al  Régimen Subsidiado del Distrito Capital y % de estos que corresponde a NNA desagregados por género y rango etario así como tipo de vulnerabilidad (desplazamiento) en los casos en los que existan estos datos</t>
  </si>
  <si>
    <t># de NNA a quienes se les garantizó la continuidad a de su afiliación al Régimen Subsidiado desagregados por género y rango etario</t>
  </si>
  <si>
    <t xml:space="preserve">Reducir la tasa de mortalidad materna por debajo de 37  por 100.000 nacidos vivos </t>
  </si>
  <si>
    <t># de casos de muertes maternas registrados durante el trimestre y comparación con respecto al  mismo período en el año inmediatamente anterior. 
Acciones desarrolladas para lograr la reducción de la tasa de mortalidad materna y para la atención de las gestantes menores de 18 años (controles prenatales, atención en nutrición)</t>
  </si>
  <si>
    <t>198 - Comedores Comunitarios: Primer Paso del Proceso Educativo de los Sectores Más Vulnerables</t>
  </si>
  <si>
    <t>Hombres: 36.612
Mujeres: 33.869
Ciclo 1 (0-5):  41.241
Ciclo 2 (6-13):  29.240
Ciclo 3 (14-17): 0</t>
  </si>
  <si>
    <t>Hombres:6.483
Mujeres: 6.227
Ciclo 1 (0-5):  0
Ciclo 2 (6-13):  254
Ciclo 3 (14-17):  12.456</t>
  </si>
  <si>
    <t>Adolescencia</t>
  </si>
  <si>
    <t>0 a 5 años</t>
  </si>
  <si>
    <t>PROTOCOLO DE INFANCIA Y ADOLESCENCIA</t>
  </si>
  <si>
    <r>
      <t>1.</t>
    </r>
    <r>
      <rPr>
        <b/>
        <sz val="7"/>
        <color indexed="12"/>
        <rFont val="Times New Roman"/>
        <family val="1"/>
      </rPr>
      <t xml:space="preserve">     </t>
    </r>
    <r>
      <rPr>
        <b/>
        <sz val="14"/>
        <color indexed="12"/>
        <rFont val="Calibri"/>
        <family val="2"/>
      </rPr>
      <t>Caracterización</t>
    </r>
  </si>
  <si>
    <t>Alcanzar las coberturas útiles de vacunación (&gt; o = 95%) para todos los biológicos del programa ampliado de inmunizaciones</t>
  </si>
  <si>
    <t>Bogotá sana</t>
  </si>
  <si>
    <t>626 - Instituciones saludables y amigables</t>
  </si>
  <si>
    <t>Fortalecer la línea amiga de las niñas, niños y adolescentes 106 (atención 24 horas)</t>
  </si>
  <si>
    <t>749 niños, niñas y 50 jóvenes</t>
  </si>
  <si>
    <t xml:space="preserve">Se han beneficiado:  429 niñas y niños </t>
  </si>
  <si>
    <t xml:space="preserve">980 personas se han vinculado, de las cuales  852 son del rango de  infancia; 113 adolescentes y 15 jóvenes en las escuelas de arte (música, artes plásticas, teatro, danzas, literatura y ciencia). Se reporta lo mismo que en el tercer trimestre debido a que las acciones no se han comenzado, en el cuarto trimestre se suscribió el convenio con la OIM con el fin de desarrollar la acción planificada en el mes de noviembre de 2009. La vinculación de poblaciones, se estará dando a partir del mes de enero en la vigencia 2010.      </t>
  </si>
  <si>
    <t>En todo el año se beneficiaron: 1500 niños y niñas entre 3 y 12 años de edad y 850 niños y niñas entre 5 y 16 años de edad, 250 niños y niñas entre 8 y 17 años de edad, para un total de 2,410 niños.</t>
  </si>
  <si>
    <t>En todo el año se beneficiaron:
195 niños y niñas entre los 6 y 14 años,  5,232 adolescentes  entre los 14 y 17 años
y 120 jóvenes entre 18 y 26 años de edad; para un total de 5,547.</t>
  </si>
  <si>
    <t>Disminuir la mortalidad por enfermedad diarreica aguda (EDA) a 2,5 casos por 100.000 menores de cinco años</t>
  </si>
  <si>
    <t>Disminuir la mortalidad por neumonía a 17 casos por 100.000 menores de cinco años.</t>
  </si>
  <si>
    <t>Seguimiento  - Mantenimiento a los 325 microterritorios caracterizados.</t>
  </si>
  <si>
    <t>De acuerdo con las últimas cifras disponibles en el sistema de estadísticas vitales de la Secretaría Distrital de Salud de Bogotá D.C., a junio 30 de 2010, en Bogotá D.C., se registraron 263 embarazos en adolescentes entre 10 y 14 años.  Durante el mismo período del año anterior, se presentaron 278 embarazos en este grupo poblacional. El resultado registra una disminución  de  5.39% al mes de junio del año en curso, con respecto a lo registrado en el mismo lapso del año anterior. Se precisa que estas cifras no son definitivas, son las últimas preliminares del trimestre con la cuales se dispone en el Sistema de Estadísticas Vitales de la Secretaría Distrital de Salud de Bogotá D.C., las cuales están con fecha de corte a 30 de junio de 2010 y en la actualidad se encuentran en proceso de revisión, análisis y depuración.</t>
  </si>
  <si>
    <t xml:space="preserve"> Adicional a las 8.646 niñas de 10 a 14 años intervenidas durante el primer trimestre de 2010, durante los meses de abril y mayo, se cubrieron 19.829  y en junio se intervinieron 11.516  niñas y  adolescentes [de los 64.973 que se  estimaron al iniciar la vigencia] , a través de  las intervenciones de promoción de calidad de vida y salud sexual y reproductiva, realizadas en el ámbito escolar en 2010, en las  470 sedes de los Colegios Distritales en los cuales opera la estrategia de atención primaria en salud. De igual forma, con las intervenciones promocionales de la salud sexual y reproductiva en este ámbito, se cubrieron los demás miembros de la comunidad educativa  de la ciudad, beneficiando a cerca de 500.000 estudiantes, incluidos todos los niños y niñas menores de 18 años vinculados en el sistema público y educativo distrital. [Últimas cifras preliminares disponibles en el sistema de información de la SDS con corte a 30 junio de 2010]. </t>
  </si>
  <si>
    <t xml:space="preserve">Secretaría Distrital de Salud de Bogotá D.C., Dirección de Salud Pública, Área de Vigilancia en Salud Pública: Sistema de Estadísticas Vitales de la Secretatría Distrital de Salud de Bogotá D.C. </t>
  </si>
  <si>
    <t># de casos de muertes perinatales registrados durante el trimestre y comparación con respecto al  mismo período en el año inmediatamente anterior. 
Acciones desarrolladas para lograr la reducción de la tasa de mortalidad perinatal  y para la atención de las gestantes menores de 18 años (controles prenatales, atención en nutrición)</t>
  </si>
  <si>
    <t>Implementar estrategias tendientes a la erradicación del trabajo infantil de la población recicladora de oficio en condiciones de pobreza y vulnerabilidad mediante la vinculación de 1200 NNA hijos de recicladores a programas tendientes a la erradicación del trabajo infantil</t>
  </si>
  <si>
    <t>Acciones dirigidas a la erradicación del trabajo infantil de la población recicladora de oficio en condiciones de pobreza y vulnerabilidad
# de NNA hijos de recicladores en situación de trabajo infantil identificados y desvinculados</t>
  </si>
  <si>
    <t>ENTIDAD: Empresa de Acueducto y Alcantarillado de Bogotá - EAAB</t>
  </si>
  <si>
    <t>Anual</t>
  </si>
  <si>
    <t>Acuerdo del Concejo Distrital donde se definen los factores de subsidio y aporte</t>
  </si>
  <si>
    <t>Reporte de contratos de servicio vigentes por localidad y estrato de la EAAB y Proyecciones NNA_2010</t>
  </si>
  <si>
    <t xml:space="preserve">Atención integral a la población desplazada </t>
  </si>
  <si>
    <t>Estrategias de atención a NNA afectados por el conflicto  - desplazados  en el marco del proyecto de atención integral a la población desplazada
# de NNA desplazados que fueron atendidos por el proyecto en el trimestre desagregados por género y rango etario y de acuerdo a las diferentes modalidades de atención contempladas por el proyecto</t>
  </si>
  <si>
    <t>Bogota segura y humana</t>
  </si>
  <si>
    <t xml:space="preserve">Sistema distrital de justicia </t>
  </si>
  <si>
    <t>Garantizar 120 cupos en programas de servicio social gratuito para la ejecución de medidas de la pena, para los adolescentes infractores</t>
  </si>
  <si>
    <t># de adolescentes infractores vinculados a  programas de servicio social gratuito en cumplimiento de las medidas de pena contempladas en por la Ley para los adolescentes infractores
# de cupos disponibles para el cumplimiento de las medidas de pena contempladas en por la Ley para los adolescentes infractores
Cobertura del proyecto</t>
  </si>
  <si>
    <t># de niñas y adolescentes mujeres beneficiadas de manera directa e indirecta mediante la asesoría y representación jurídica especializada desde el enfoque de derechos con perspectiva de géneros para garantía, reconocimiento y restitución de sus derechos 
Acciones para la garantía de los derechos de niñas y adolescentes mujeres de manera diferencial</t>
  </si>
  <si>
    <t xml:space="preserve">Garantizar 500 cupos para el cumplimiento de sanciones en medio cerrado para adolescentes infractores </t>
  </si>
  <si>
    <t xml:space="preserve"># de cupos disponibles para el cumplimiento de las medidas de pena en medio cerrado contempladas en por la Ley para los adolescentes infractores
# de adolescentes infractores vinculados a  programas de cumplimiento de las medidas de pena en medio cerrado </t>
  </si>
  <si>
    <t>Jóvenes visibles con derechos y responsabilidades</t>
  </si>
  <si>
    <t># de  adolescentes jóvenes en situación de vulnerabilidad vinculados a  programas y actividades por la vida, la libertad y la seguridad 
Programas accioens desarrolladas orientadas a la integración de jóvenes en situación de vulnerabilidad</t>
  </si>
  <si>
    <t>Atención al proceso de desmovilización y reintegración</t>
  </si>
  <si>
    <t># de NNA hijos e hijas de población desmovilizada beneficiados con acciones de reintegración a la vida civil (atención psicosocial)</t>
  </si>
  <si>
    <t>Acciones desarrolladas para la sensibilización y el fortalecimiento de  la reintegración de excombatientes y NNA beneficiados con este proyecto</t>
  </si>
  <si>
    <t>Acciones dirigidas al  fortalecimiento de los organismos de la policía judicial para incrementar la seguridad y la investigación así como la correcta apliación del SRPA</t>
  </si>
  <si>
    <t>Incrementar 300.000 cupos en régimen subsidiado para alcanzar 1.670.000 cupoS</t>
  </si>
  <si>
    <t>385 Universalización de la Atención en Salud</t>
  </si>
  <si>
    <t>Garantiar en 100%  la atención de la poblaicón vinculada al Sistema general de Seguridad Social  en Salud [GSSS].</t>
  </si>
  <si>
    <t>BOGOTA SIN INDIFERENCIA</t>
  </si>
  <si>
    <t>Sensibilizar 425.000 personas con acciones para fortalecer una base social, cultural e institucional que posibilite la reintegración de excombatientes</t>
  </si>
  <si>
    <t>ENTIDAD: Fondo de Vigilancia y Seguridad de Bogotá - FVS</t>
  </si>
  <si>
    <t>Bogota Segura y Humana</t>
  </si>
  <si>
    <t>Sistema Distrital de Justicia</t>
  </si>
  <si>
    <t>Fortalecimiento de Infancia y Adolescencia</t>
  </si>
  <si>
    <t>Fortalecimiento de los organismos de la policía judicial para incrementar la seguridad y la investigación</t>
  </si>
  <si>
    <t xml:space="preserve">Infancia y Adolescencia Feliz y Protegida Integralmente </t>
  </si>
  <si>
    <t xml:space="preserve">Desarrollar acciones y campañas para mejorar la seguridad de niños, niñas y adolescentes </t>
  </si>
  <si>
    <t xml:space="preserve">No se reporta población beneficiada </t>
  </si>
  <si>
    <t xml:space="preserve">Garantizar 1.450 cupos para la atención de niños, niñas y adolescentes en condición de discapacidad cognitiva </t>
  </si>
  <si>
    <t>Vincular 20.000 niños, niñas y sus familias a procesos de atención integral para el desarrollo psicosocial expuestos a situaciones de vulneración de derechos (explotación laboral, maltrato infantil, desplazamiento, abandono, vinculados al conflicto armado</t>
  </si>
  <si>
    <t>Proteger contra la explotación laboral a 5.100 niños y niñas anualmente</t>
  </si>
  <si>
    <t xml:space="preserve">Meta de Ciudad:  reducir el 100% de embarazos en adolescentes de 10 a 14 años.
Implementar acciones educativas, legales y de control para la restitución de los derechos de los niños, niñas y jóvenes victimas de abuso sexual </t>
  </si>
  <si>
    <t xml:space="preserve">No se reporta población atendida </t>
  </si>
  <si>
    <t xml:space="preserve">Meta de Ciudad:  Aumentar a 6 meses la lactancia materna exclusiva. 
</t>
  </si>
  <si>
    <t xml:space="preserve">                         H            M
0 - 5      363.608   346.744
Se toma toda la población de 0-5 años como beneficiaria del proyecto ya que las acciones de promoción y difusión van dirigidas a mejorar la calidad de vida de toda esta población.</t>
  </si>
  <si>
    <t xml:space="preserve">Meta de Ciudad:  Aumentar a 6 meses la lactancia materna exclusiva
</t>
  </si>
  <si>
    <t xml:space="preserve">Implementar acciones educativas, legales y de control para la restitución de los derechos de los niños, niñas y jóvenes victimas de abuso sexual </t>
  </si>
  <si>
    <t xml:space="preserve">203 Policias profesionales  de la  especialidad Infancia y adolescencia (como beneficiarios directos). </t>
  </si>
  <si>
    <t xml:space="preserve">180 efectivos </t>
  </si>
  <si>
    <t>Con el convenio del IPES se benefician los alumnos de 32 colegios;  con el del IDRD, 10.000 infantes y adolescentes; con la Secretaría de Educación los alumnos de 192 colegios,; con el de la Secretaría de Gobierno y la OIM 40 organizacinoes juveniles.</t>
  </si>
  <si>
    <t>6 - 13 años: Infancia: 7.052 niños y 6.880 niñas.
14 - 17 años: Adolescencia: 4.161  hombres y 4.201 mujeres.</t>
  </si>
  <si>
    <t>Beneficiar 11.000 desmovilizados y miembros de sus familias con acciones complementarias para la reintegración a la vida civil</t>
  </si>
  <si>
    <t>595               Atención al proceso de desmovilización y reintegración en Bogotá</t>
  </si>
  <si>
    <t>Entidad: Secretaría Distrital de Integración Social</t>
  </si>
  <si>
    <t>Familias positivas</t>
  </si>
  <si>
    <t>Realizar el 100% de seguimiento a los casos denunciados por maltrato infantil, delitos sexuales contra niños, niñas y adolescentes remitidos  por las comisarías de familia a las entidades competentes del sistema judicial ( Fiscalía general de la Nación) p</t>
  </si>
  <si>
    <t>Familias Positivas</t>
  </si>
  <si>
    <t xml:space="preserve">Mantener la cobertura en servicios No POSs para el 15% de la población afiliada al régimen subsidiado. Con énfasis en menores de 18 años. Nota Aclaratoria: Se precisa que la meta complementaria es: Mantener la cobertura en servicios de salud para el 60% de la población pobre no asegurada.
</t>
  </si>
  <si>
    <t xml:space="preserve">Atender gratuitamente al 100% a los menores de 5 años y en condición de discapacidad severa, siempre que estén afiliadas al régimen subsidiado y clasificadas en los niveles I y II de SISBEN </t>
  </si>
  <si>
    <t>Reducir en 20% los embarazos/año en adolescentes entre 15 y 19 años</t>
  </si>
  <si>
    <t>Se contará con las políticas publicas de: infancia, juventud, adulto, persona mayor y población en situación de desplazamiento forzado por la violencia construidas con la participación de la comunidad.</t>
  </si>
  <si>
    <t xml:space="preserve">Garantizar la atención integral a los niños-as y adolescentes con medida de protección legal y la efectividad del proceso definido para restituir su derecho a la familia. Vincular de forma prioritaria a los servicios de atención integral a aquellas niñas </t>
  </si>
  <si>
    <t>Atender en 70 cupos/año a niños, niñas y adolescentes con discapacidad y medida de protección legal</t>
  </si>
  <si>
    <t>Vincular el 65% de recicladores de oficio en condiciones de pobreza y vulnerabilidad vinculados a proyectos de inclusión social</t>
  </si>
  <si>
    <t>629 - Fortalecimiento de la Gestion Distrital en Salud Publica</t>
  </si>
  <si>
    <t>Recursos Invertidos (millones $) A 31 de Diciembre de 2009</t>
  </si>
  <si>
    <t>0 años</t>
  </si>
  <si>
    <t>1 año</t>
  </si>
  <si>
    <t>2 años</t>
  </si>
  <si>
    <t>3 años</t>
  </si>
  <si>
    <t>4 años</t>
  </si>
  <si>
    <t>5 años</t>
  </si>
  <si>
    <t>6 años</t>
  </si>
  <si>
    <t>7 años</t>
  </si>
  <si>
    <t>8 años</t>
  </si>
  <si>
    <t>9 años</t>
  </si>
  <si>
    <t>10 años</t>
  </si>
  <si>
    <t>11 años</t>
  </si>
  <si>
    <t>12 años</t>
  </si>
  <si>
    <t>13 años</t>
  </si>
  <si>
    <t>14 años</t>
  </si>
  <si>
    <t>15 años</t>
  </si>
  <si>
    <t>16 años</t>
  </si>
  <si>
    <t>17 años</t>
  </si>
  <si>
    <t>18 años</t>
  </si>
  <si>
    <t>Secretaría Distrital de Planeación</t>
  </si>
  <si>
    <t>Subsecretaría de Información y Estudios Estratégicos</t>
  </si>
  <si>
    <t>Dirección de Información, Cartografía y Estadística</t>
  </si>
  <si>
    <t>Fuente: DANE</t>
  </si>
  <si>
    <t>EDAD</t>
  </si>
  <si>
    <t>TOTAL HOMBRES</t>
  </si>
  <si>
    <t>TOTAL MUJERES</t>
  </si>
  <si>
    <t xml:space="preserve">TOTAL </t>
  </si>
  <si>
    <t>1 - USAQUÉN</t>
  </si>
  <si>
    <t>2 - CHAPINERO</t>
  </si>
  <si>
    <t>3 - SANTAFE</t>
  </si>
  <si>
    <t>4 - SAN CRISTÓBAL</t>
  </si>
  <si>
    <t>5 - USME</t>
  </si>
  <si>
    <t>6 - TUNJUELITO</t>
  </si>
  <si>
    <t>7 - BOSA</t>
  </si>
  <si>
    <t>8 - KENNEDY</t>
  </si>
  <si>
    <t>9 - FONTIBÓN</t>
  </si>
  <si>
    <t>10 - ENGATIVÁ</t>
  </si>
  <si>
    <t>11 - SUBA</t>
  </si>
  <si>
    <t>12 - BARRIOS UNIDOS</t>
  </si>
  <si>
    <t>13 - TEUSAQUILLO</t>
  </si>
  <si>
    <t>14- LOS MÁRTIRES</t>
  </si>
  <si>
    <t>15 - ANTONIO NARIÑO</t>
  </si>
  <si>
    <t>16 - PUENTE ARANDA</t>
  </si>
  <si>
    <t>17 - LA CANDELARIA</t>
  </si>
  <si>
    <t>18- RAFAEL URIBE URIBE</t>
  </si>
  <si>
    <t>19 - CIUDAD BOLÍVAR</t>
  </si>
  <si>
    <t>20 - SUMAPAZ</t>
  </si>
  <si>
    <t>Ejecución segundo trimestre
(millones $) Acumulados 1er y 2do trim</t>
  </si>
  <si>
    <t>S  E  G  U  I  M  I  E  N  T  O     G  E  S  T  I  Ó  N        2  0  1  0</t>
  </si>
  <si>
    <r>
      <t>NNA ATENDIDOS Y</t>
    </r>
    <r>
      <rPr>
        <b/>
        <sz val="12"/>
        <color indexed="9"/>
        <rFont val="Arial Narrow"/>
        <family val="2"/>
      </rPr>
      <t>/O BENEFICIADOS</t>
    </r>
  </si>
  <si>
    <t>Periodicidad de Reporte</t>
  </si>
  <si>
    <t>Avance de la Gestión PRIMER trimestre</t>
  </si>
  <si>
    <t>Avance de la Gestión SEGUNDO trimestre</t>
  </si>
  <si>
    <t>Avance de la Gestión TERCER trimestre</t>
  </si>
  <si>
    <t>Avance de la Gestión CUARTO trimestre</t>
  </si>
  <si>
    <t>Número de NNA beneficiados PRIMER trimestre</t>
  </si>
  <si>
    <t>Número de NNA beneficiados SEGUNDO trimestre</t>
  </si>
  <si>
    <t>Número de NNA beneficiados TERCER trimestre</t>
  </si>
  <si>
    <t>Número de NNA beneficiados CUARTO trimestre</t>
  </si>
  <si>
    <t>Metas Alcanzadas
Acciones Desarrolladas</t>
  </si>
  <si>
    <t>% gestión</t>
  </si>
  <si>
    <t>685.000 estudiantes de colegios con suministro diario de refrigerio</t>
  </si>
  <si>
    <t>450.000 estudiantes de colegios distritales con suministro diario de refrigerio</t>
  </si>
  <si>
    <r>
      <t xml:space="preserve"># de NNA beneficiarios </t>
    </r>
    <r>
      <rPr>
        <i/>
        <sz val="11"/>
        <color indexed="8"/>
        <rFont val="Calibri"/>
        <family val="2"/>
      </rPr>
      <t>programados</t>
    </r>
    <r>
      <rPr>
        <sz val="11"/>
        <color theme="1"/>
        <rFont val="Calibri"/>
        <family val="2"/>
      </rPr>
      <t xml:space="preserve"> Y </t>
    </r>
    <r>
      <rPr>
        <i/>
        <sz val="11"/>
        <color indexed="8"/>
        <rFont val="Calibri"/>
        <family val="2"/>
      </rPr>
      <t xml:space="preserve">efectivos </t>
    </r>
    <r>
      <rPr>
        <sz val="11"/>
        <color theme="1"/>
        <rFont val="Calibri"/>
        <family val="2"/>
      </rPr>
      <t>en el servicio de alimentación escolar en las IED - Componente REFRIGERIOS desagregados por género y rango etario</t>
    </r>
  </si>
  <si>
    <t>Hombres: 226.186
Mujeres: 218.872
Ciclo 1 (0-5):  30.072
Ciclo 2 (6-13):  295.469
Ciclo 3 (14-17): 119.516</t>
  </si>
  <si>
    <t>Suministrar 120.00 comidas calientes diarias a estudiantes de colegios distritales</t>
  </si>
  <si>
    <t># de NNA beneficiarios programados Y efectivos en el servicio de alimentación escolar en las IED - Componente COMIDAS CALIENTES desagregados por género y rango etario</t>
  </si>
  <si>
    <t>Hombres:55.976
Mujeres: 53.781
Ciclo 1 (0-5):  7.545
Ciclo 2 (6-13):  73.471
Ciclo 3 (14-17): 28.740</t>
  </si>
  <si>
    <t xml:space="preserve">984. 206 NNA programados en Gratuidad Total - Componente TARIFAS </t>
  </si>
  <si>
    <t># de NNA beneficiarios programados Y efectivos en el programa de Gratuidad Total - Componente TARIFAS desagregados por género y rango etario</t>
  </si>
  <si>
    <t>Hombres: 505.708
Mujeres: 489.355
Ciclo 1 (0-5): 67.236
Ciclo 2 (6-13): 660.612
Ciclo 3 (14-17): 267.215</t>
  </si>
  <si>
    <t>72.315 NNA programados en Gratuidad Total - Componente UTILES ESCOLARES</t>
  </si>
  <si>
    <t># de NNA beneficiarios programados Y efectivos en el programa de Gratuidad Total - Componente UTILES ESCOLARES desagregados por género y rango etario</t>
  </si>
  <si>
    <t>Hombres: 0
Mujeres: 0
Ciclo 1 (0-5):  0
Ciclo 2 (6-13):  0
Ciclo 3 (14-17): 0</t>
  </si>
  <si>
    <t xml:space="preserve">Ofrecer transporte escolar a 37.325 estudiantes de los colegios distritales.  </t>
  </si>
  <si>
    <t># de NNA beneficiarios programados Y efectivos en el programa de Retención Escolar- Componente TRANSPORTE ESCOLAR desagregados por género y rango etario</t>
  </si>
  <si>
    <t>Hombres:19.558
Mujeres:18.299
Ciclo 1 (0-5): 695
Ciclo 2 (6-13): 33.362
Ciclo 3 (14-17): 3.800</t>
  </si>
  <si>
    <t xml:space="preserve">Otorgar subsidio de transporte condicionado a la asistencia escolar 5.769 estudiantes de los colegios distritales. </t>
  </si>
  <si>
    <t># de NNA beneficiarios programados Y efectivos en el programa de Retención Escolar- Componente SUBSIDIO DE TRANSPORTE desagregados por género y rango etario</t>
  </si>
  <si>
    <t>Otorgar subsidio condicionado a la asistencia escolar a 10.925 estudiantes de los colegios distritales</t>
  </si>
  <si>
    <t># de NNA beneficiarios programados Y efectivos en el programa de Retención Escolar- Componente SUBSIDIOS CONDICIONADOS A LA ASISTENCIA desagregados por género y rango etario</t>
  </si>
  <si>
    <t>4248 Subsidios a la demanda educativa: Convenio</t>
  </si>
  <si>
    <t>135.741 NNA beneficiados con subsidios a la demanda educativa por  Convenio</t>
  </si>
  <si>
    <t># de NNA beneficiarios programados Y efectivos en el componente  CONVENIOS desagregados por género y rango etario</t>
  </si>
  <si>
    <t>Hombres:69.308
Mujeres:65.829
Ciclo 1 (0-5): 6.319
Ciclo 2 (6-13): 96.835
Ciclo 3 (14-17): 31.983</t>
  </si>
  <si>
    <t>39.307 NNA beneficiados con subsidios a la demanda educativa por  Concesión</t>
  </si>
  <si>
    <t># de NNA beneficiarios programados Y efectivos en el componente  CONCESIÓN desagregados por género y rango etario</t>
  </si>
  <si>
    <t>Hombres: 19.883
Mujeres: 19.975
Ciclo 1 (0-5):  2.666
Ciclo 2 (6-13): 28.188
Ciclo 3 (14-17): 9.004</t>
  </si>
  <si>
    <t xml:space="preserve">984.206 NNA beneficiados con el componende de TRANSFORMACIÓN PEDAGÓGICA </t>
  </si>
  <si>
    <t># de NNA beneficiarios programados Y efectivos en el programa de educación con calidad y pertinencia componente  TRANSFORMACIÓN desagregados por género y rango etario
- # de Adolescentes vinculados al programa de alfabetización y validación
- # de Adolescentes vinculados al programa de formación para el trabajo
- # de NNA vinculados al programa de intensificación del inglés
- # de Adolescentes vinculados a programas de especialización de la educación superior
# de  NNA vinculados a programas especiales de lectoescritura desagregados por género y rango erario</t>
  </si>
  <si>
    <t>17.500 NNA  en situación de vulnerabilidad ó fragilidad por su pertenencia a una etnia, ser víctimas del conflicto armado, tener alguna discapacidad,  tener NEE,  beneficiados con acciones educativas que aseguren su inclusion social en el colegio</t>
  </si>
  <si>
    <t># De NNA miembros de grupos étnicos  matriculados desagregados por etnia y género
# De NNA en condición de fragilidad por conflicto  armado matriculados desagregados por afectación y género
# De NNA en condición de discapacidad matriculados desagregados por tipo de discapacidad y género 
# De NNA con NEE matriculados desagregados por tipo de discapacidad y género 
# De cupos en IED  para NNA con NEE desagregados por localidad</t>
  </si>
  <si>
    <t>Hombres: 5.258
Mujeres: 5.052
Ciclo 1 (0-5):  411
Ciclo 2 (6-13): 6.836
Ciclo 3 (14-17): 3.062</t>
  </si>
  <si>
    <t>Implementar en 370 colegios distritales y con el apoyo de sus respectivas comunidades educativas, un programa permanente de sensibilización para promover y garantizar los derechos humanos, la convivencia, la democracia, la participación, la interculturalidad</t>
  </si>
  <si>
    <t>984.206 NNA beneficiados con el programa permanente de sensibilización para promover y garantizar los derechos humanos, la convivencia, la democracia, la participación, la interculturalidad</t>
  </si>
  <si>
    <t># de IED con programa de DDHH, convivencia, democracia, participación e interculturalidad implementado
# de NNA formados mediante el  programa de DDHH, convivencia, democracia, participación e interculturalidad implementado desagregados por género y rango etario</t>
  </si>
  <si>
    <t>984.206 NNA beneficiados con el mejoramiento de la infraestructura educativa, y una educacion de calidad y pertinencia</t>
  </si>
  <si>
    <t xml:space="preserve">Proyección de la Población en Edad Escolar - PEE
Tasa de cobertura bruta por nivel educativo
Tasa de cobertura neta por nivel educativo
Tasa de repitencia por nivel educativo
Población total de NNA en el sistema de matrícula oficial SED
Composición de la matrícula respecto al género y grupo etario
</t>
  </si>
  <si>
    <t>Hombres: 416.517
Mujeres: 403.551
Ciclo 1 (0-5): 58.251
Ciclo 2 (6-13): 535.589
Ciclo 3 (14-17): 226.228</t>
  </si>
  <si>
    <t>ENTIDAD: Secretaría Distrital de Integración Social</t>
  </si>
  <si>
    <t xml:space="preserve">Realizar el 100% de seguimiento a los casos denunciados por maltrato infantil, delitos sexuales contra niños, niñas y adolescentes remitidos  por las comisarías de familia a las entidades competentes del sistema judicial (Fiscalía General de la Nación) </t>
  </si>
  <si>
    <t># de casos de MALTRATO INFANTIL Y DELITOS SEXUALES denunciados ante las Comisarías de Familia desagregados por localidad
# de NNA atendidos en Comisarías de Familia por denuncia de DELITOS SEXUALES
Información sobre la relación de la víctima con el agresor desagregada por ranto etario de la víctima</t>
  </si>
  <si>
    <t>*  Atender 350 personas /año en servicios especializados a mujeres víctimas de violencia intrafamiliar o sexual  y niños-as y adolescentes victimas de explotación sexual comercial.
*  Atender 455 cupos/año a niños y niñas con medidas de protección legal de acuerdo a la Ley 1098 de 2006 (Art. 51,53 y 198). 
*  Atender 275 grupos familiares en servicio de atención terapéutica</t>
  </si>
  <si>
    <t xml:space="preserve">Atención en servicios especializados a mujeres víctimas de violencia intrafamiliar o sexual  y niños-as y adolescentes victimas de explotación sexual comercial. </t>
  </si>
  <si>
    <t># de cupos para NNA con medidas de protección legal desagregados por localidad y # de instituciones que cuentan con este servicio
# de NNA con medidas de protección legal atendidos para la restitución del derecho a la familia desagregados por género y rango etario</t>
  </si>
  <si>
    <t>Diseñar e implementar 1 modelo de prevención de accidentes, en los espacios donde transcurre la cotidianidad de niñas,niños y adolescentes,  en las 20 localidades</t>
  </si>
  <si>
    <t>\Estrategia de Ciudad Segura</t>
  </si>
  <si>
    <t xml:space="preserve">Lograr 1.450 cupos de atención para niños, niñas y adolescentes en condicion de discapacidad en los Centros Crecer </t>
  </si>
  <si>
    <t xml:space="preserve"># de cupos disponibles en los Centros Crecer para NNA con discapacidad    desagregados por localidad 
# de NNA con discapacidad   atendidos en  Centros Crecer  desagregados por localidad, género y rango etario </t>
  </si>
  <si>
    <t>La población beneficiada en 2009, a través de los distintos mecanismos de acceso, Chat, línea telefónica, buzón o Internet, fue de 12.612 niños, niñas y adolescentes [Ultima cifra disponible en el sistema de información de la Entidad, con fecha de corte a diciembre 31 de 2009].</t>
  </si>
  <si>
    <t>El proceso de suplementación en su primera fase cubrió a  208.394  niños y niñas de colegios y jardines infantiles y el reporte de suplementación II fase da razón de  suplementación a 219.022 niños y niñas. Es importante precisar que la población beneficiaria  se modifica dado que en el  2008  se toma la población general cubierta por el programa Salud al Colegio y para 2009 se reporta la población específica suplementada con micronutrientes, menor de 12 años. [Ultima cifra disponible en el sistema de información de la Entidad, con fecha de corte a diciembre 31 de 2009]</t>
  </si>
  <si>
    <t xml:space="preserve">605 adolescentes lactantes se beneficiaron de manera directa y 28,800 niños y niñas de Jardines infantiles [Ultima cifra disponible en el sistema de información de la Entidad, con fecha de corte a diciembre 31 de 2009]
</t>
  </si>
  <si>
    <t>605 adolescentes lactantes y 350 usuarios de diferentes instituciones como ICBF, SDIS, IDIPRON y SDS. [Ultima información disponible en el Sistema de Información de la Entidad, con fecha de corte a diciembre 31 de 2009].</t>
  </si>
  <si>
    <t>4.238 niños y niñas trabajadores beneficiadas de manera directa.   16.952 personas beneficiadas de manera indirecta. [Ultima cifra disponible en el sistema de información con fecha de corte a 31 diciembre de 2009]</t>
  </si>
  <si>
    <t>4.926 adultos sensibilizados para la prevención y erradicación del trabajo infantil.[Ultima cifra disponible en el sistema de información con fecha de corte a 31 diciembre de 2009]. 1.778 niños y  niñas trabajadores y su familias han recibido la intervención para la promoción de salud mental y prevención de la vinculación a peores formas de trabajo infantil. 
252 niños y niñas se han identificado en una condición de peor forma de trabajo infantil y se han canalizado a proyectos locales. [Ultima cifra preliminar disponible en el sistema de información con fecha de corte a 31 de diciembre de 2009]</t>
  </si>
  <si>
    <t>0656 - realización de actividades artísticas y culturales</t>
  </si>
  <si>
    <t>ENTIDAD: Secretaría Distrital de Cultura, Recreación y Deporte</t>
  </si>
  <si>
    <t>Bogotá Sociedad de Conocimiento</t>
  </si>
  <si>
    <t>Infraestructura para la ciencia, la tecnologia y la innovación</t>
  </si>
  <si>
    <t>Modernizar, dotar y operar el planetario de Bogotá como escenario para la divulgación de la cultura científica</t>
  </si>
  <si>
    <t>Hombres: 254.584
Mujeres: 239.507
Ciclo 1 (0-5):  24.807
Ciclo 2 (6-13):  366.196
Ciclo 3 (14-17): 158.335</t>
  </si>
  <si>
    <t>Hombres:56.010
Mujeres: 53.816
Ciclo 1 (0-5): 5.008
Ciclo 2 (6-13):  73.902
Ciclo 3 (14-17): 30.919</t>
  </si>
  <si>
    <t xml:space="preserve">Atender a 302.500 familias con derechos vulnerados a través de acceso a la justicia familiar y social, y promoción y restitución de derechos </t>
  </si>
  <si>
    <t>No se reporta población atendida</t>
  </si>
  <si>
    <t>Reducir tasas de violencia intrafamiliar y de violencia sexual ocurridas contra mujeres y niños y desarrollo del programa de restauración de violencia intrafamiliar (PARVIF)</t>
  </si>
  <si>
    <t>Formar 200.000 familias en atención integral a la primera infancia y educación inicial.</t>
  </si>
  <si>
    <t>Formar al 100% de las maestras de los jardines infantiles oficiales en detección, prevención y remisión de casos de violencias.</t>
  </si>
  <si>
    <t xml:space="preserve">Número de Personas beneficiadas 
A 31 de Diciembre de 2009
</t>
  </si>
  <si>
    <t>Vincular 100.000 personas a procesos de formación ambiental en los espacios administrados por el Sector de Ambiente</t>
  </si>
  <si>
    <t>Formar 25.000 estudiantes y docentes de los colegios que se vinculen a los procesos de educación ambiental, en espacios como el Jardín Botánico y escenarios de la Estructura Ecológica Principal de Bogotá.</t>
  </si>
  <si>
    <t>Sector: Organismos de Control</t>
  </si>
  <si>
    <t>ENTIDAD: Personería</t>
  </si>
  <si>
    <t>Control social al alcance de todos y todas</t>
  </si>
  <si>
    <t>Casa ciudadana del control social</t>
  </si>
  <si>
    <t>Generar condiciones para hacer efectivo el control social</t>
  </si>
  <si>
    <t>1.800 (de 14 a 17 años)</t>
  </si>
  <si>
    <t>Atender de manera integral e institucionalizada 1.322 niños y niñas habitantes de calle garantizando el derecho de educación, alimentación y desarrollo personal.
Operar 4 unidades de protección integral de paso, sin habitación, para 570 niños y niñas habi</t>
  </si>
  <si>
    <t>•  Atender de manera integral 935 jadolescentes y jóvenes en situación de vida en calle en  modalidad institucionalizada.
•  Atender de manera integral  426 adolescentes y jóvenes en situación de vida en calle en  modalidad de externado.
•  Integrar a 2.370 adolescentes y jóvenes pandilleros en procesos de educación formal, no formal y en talleres ocupacionales.</t>
  </si>
  <si>
    <t># de adollescentes en situación de vida en calle atendidos en en  modalidad institucionalizada y externado desagregados por género y rango etario
# de adolescentes y jóvenes pandilleros vinculados a procesos de educación formal, no formal y en talleres ocupacionales desagregados por género y rango etario</t>
  </si>
  <si>
    <t>Operar el planetario de Bogotá como escenario para la divulgación de la cultura científica</t>
  </si>
  <si>
    <t>Alcanzar 3.520.000 participantes en actividades artísticas, culturales y patrimoniales, con criterios de proximidad, diversidad, pertinencia, y calidad para promover la convivencia, la apropiación cultural de la ciudad y el ejercicio del derecho a la cultura</t>
  </si>
  <si>
    <t># De NNA participantes en actividades desarrolldads en el  Planetario Distrital desagregados por género y rango etario</t>
  </si>
  <si>
    <t># de NNA beneficiados con actividades artisticas,culturales y del patrimonio a través de las Ferias de Servicio al Ciudadano en las 20 localidades de Bogotá</t>
  </si>
  <si>
    <t># de NNA canalizados a través del SISVAN para el seguimiento de la lactancia exclusiva.
Actividades realizadas para el fomento de la lactancia materna en la ciudad en el marco de las Estrategias AIEPI, IAMI y ERA. 
Actividades realizadas para la promoción de la lactancia materna en el ámbito comunitario, ámbito escolar, ámbito institucional</t>
  </si>
  <si>
    <t xml:space="preserve">Promedio de meses de lactancia materna exclusiva en niños y niñas menores de seis meses captados por el SISVAN en los servicios de salud, en consulta de crecimiento, consulta médica y pediátrica. </t>
  </si>
  <si>
    <t xml:space="preserve"># De NNA en situación de trabajo infantil y trabajo adolescente identificados desagregados por género y rango etario
# De NNA desvinculados  de la situación de explotación laboral y # de NNA incluidos en el sistema educativo distrital
</t>
  </si>
  <si>
    <t># De personas sensibilizadas  en prevención y erradicación del trabajo infantil 
# De espacios locales intervenidos para la aplicación de la estrategia</t>
  </si>
  <si>
    <t># de adolescentes entre 15 y 18 años identificados como trabajadores caracterizados según su vinculación al sistema educativo (escolarizados ó desescolarizados) 
Acciones desarrolladas con éstos adolescentes.</t>
  </si>
  <si>
    <t>Mantener la cobertura en servicios No POSs para el 15% de la población afiliada al régimen subsidiado. Con énfasis en menores de 18 años. Nota Aclaratoria: Se precisa que la meta complementaria es: Mantener la cobertura en servicios de salud para el 60% de la población pobre no asegurada.</t>
  </si>
  <si>
    <r>
      <t xml:space="preserve">Mantener la cobertura en servicios No POSs para el 15% de la población afiliada al régimen subsidiado con énfasis en menores de 18 años.  </t>
    </r>
    <r>
      <rPr>
        <i/>
        <sz val="10"/>
        <rFont val="Calibri"/>
        <family val="2"/>
      </rPr>
      <t>Nota Aclaratoria</t>
    </r>
    <r>
      <rPr>
        <sz val="10"/>
        <rFont val="Calibri"/>
        <family val="2"/>
      </rPr>
      <t xml:space="preserve">: Se precisa que la meta complementaria es mantener la cobertura en servicios de salud para el 60% de la población pobre no asegurada. </t>
    </r>
  </si>
  <si>
    <t xml:space="preserve">% de NNA afiliados al régimen subsidiado a quienes se garantizó la cobertura en servicios no POSS y no POS desagregados por rango etario y género </t>
  </si>
  <si>
    <t xml:space="preserve">547 - Atención integral y educación especial a la niñez en situación de vida en calle, alto riesgo y abandono
</t>
  </si>
  <si>
    <t xml:space="preserve"># de NNA atendidos en los comedores comunitarios desagregados por localidad, género y rango etario
# de NNA atendidos a través del servicio de canastas complementarias desagregados por localidad, género y rango etario
</t>
  </si>
  <si>
    <t xml:space="preserve">Atender a 100.329 familias con derechos vulnerados a través de acceso a la justicia familiar y social,  promoción y restitución de derechos </t>
  </si>
  <si>
    <t># de familias con derechos vulnerados atendidas a través del programa de acceso a la justicia, promoción y restitución de derechos</t>
  </si>
  <si>
    <t>* Atender 890 denuncias de delitos sexuales
* Atender 60.000 demandas por violencia intrafamiliar en Comisarías de Familia</t>
  </si>
  <si>
    <t># de denuncias por delitos sexuales  y violencia intrafamiliar atendidas en las Comisarías de Familia desagregadas por localidad</t>
  </si>
  <si>
    <t># Padres madres y cuidadores formados en pautas de atención integral para la primera infancia y educación inicial</t>
  </si>
  <si>
    <t xml:space="preserve">Formar 48.000 adolescentes y jovenes en DSR </t>
  </si>
  <si>
    <t># de adolescentes y jovenes formados en DSR desagregados por localidad</t>
  </si>
  <si>
    <t>Informar y sensibilizar a 80.000 adolescentes y jovenes</t>
  </si>
  <si>
    <t># de adolescentes  y jovenes informados en DSR y prevención de consumo de SPA desagregados por localidad</t>
  </si>
  <si>
    <t>Formar en prevención del consumo de sustancias psicoactivas a 25.000 adolescentes y jovenes</t>
  </si>
  <si>
    <t># de adolescentes  y jovenes formados en prevención de consumo de SPA desagregados por localidad</t>
  </si>
  <si>
    <t>Apoyar 49 iniciativas de emprendimientos, producción y promoción cultural de adolescentes y jovenes</t>
  </si>
  <si>
    <t># de iniciativas apoyadas, descripción del contenido de las mismas</t>
  </si>
  <si>
    <t>ENTIDAD: Instituto Distrital para la Protección de la Niñez y Juventud - IDIPRON</t>
  </si>
  <si>
    <t>Suministrar  almuerzos diarios a 8.314 NNA, jovenes, madres gestantes, lactantes, adultos y las familias que se encuentran en extrema pobreza y vulnerabilidad.</t>
  </si>
  <si>
    <t># de NNA en extrema pobreza y vulnerabilidad beneficiados con almuerzos diarios desagregados por localidad, género y rango etario</t>
  </si>
  <si>
    <t>Suministrar a 4.394 beneficiarios del IDIPRON alimentación.</t>
  </si>
  <si>
    <t>262,642 niños, niñas y jóvenes beneficiados y 785 actividades.  Adicionalmente, la Orquesta realizar con los profesores de los colegios distritales talleres didácticos,  los cuales nos reportan 42.760 niños y niñas beneficiarios indirectos del programa.</t>
  </si>
  <si>
    <t>552 Transformación pedagógica para la calidad de la educación del sistema educativo oficial</t>
  </si>
  <si>
    <t>Hombres: 474.959
Mujeres: 467.405
Ciclo 1 (0-5):  42.556
Ciclo 2 (6-13):  628.192
Ciclo 3 (14-17): 271.616</t>
  </si>
  <si>
    <t>Toda la vida integralmente protegidos</t>
  </si>
  <si>
    <t>Inclusion Social de la Diversidad y Atencion a Poblacion Vulnerable en la Escuela</t>
  </si>
  <si>
    <t>Beneficiar anualmente 60.000 estudiantes en situación de vulnerabilidad con acciones educativas que aseguren su inclusion social en el colegio</t>
  </si>
  <si>
    <t>Atender 302.500 familias con derechos vulnerados a través de acceso a la justicia familiar y social, y promoción y restitución de derechos.</t>
  </si>
  <si>
    <t>Derechos Humanos</t>
  </si>
  <si>
    <t>6-17:  1.129.502</t>
  </si>
  <si>
    <t xml:space="preserve">Total Sector </t>
  </si>
  <si>
    <t xml:space="preserve">TOTAL GENERAL </t>
  </si>
  <si>
    <t>Garantizar la continuidad de 1.708.670 afiliados al Régimen Subsidiado.</t>
  </si>
  <si>
    <t>618 - Promoción y afiliación al régimen subsidiado y contributivo</t>
  </si>
  <si>
    <t>Bogotá Viva</t>
  </si>
  <si>
    <t>470- Políticas artísticas, culturales y del patrimonio para una ciudad de derechos</t>
  </si>
  <si>
    <t>Amor por Bogotá</t>
  </si>
  <si>
    <t>Cultura para una ciudadanía activa</t>
  </si>
  <si>
    <t>Otorgar 100 estímulos a organizaciones que busquen generar transformaciones culturales</t>
  </si>
  <si>
    <t>645- Amor por Bogotá: Cultura para una ciudadanía activa, la inclusión y la paz</t>
  </si>
  <si>
    <t>Participación</t>
  </si>
  <si>
    <t>Participación para la cultura, la recreación y el deporte</t>
  </si>
  <si>
    <t>Formular de manera concertada una política pública distrital para los campos de la recreación, la actividad física y parques</t>
  </si>
  <si>
    <t>469- Concertación y formulación de las políticas públicas en Recreación, Deorte, Actividad Física y Parques</t>
  </si>
  <si>
    <t>ENTIDAD: Instituto Distrital de Recreación y Deporte - IDRD</t>
  </si>
  <si>
    <t>Bogotá viva</t>
  </si>
  <si>
    <t>Actívate Bogotá</t>
  </si>
  <si>
    <t>Alcanzar 1.433.000 participantes de grupos poblacionales especificas en eventos recreativos</t>
  </si>
  <si>
    <t>Recreación Vital</t>
  </si>
  <si>
    <t>Deporte con altura</t>
  </si>
  <si>
    <t>Apoyar anualmente 900 deportistas de alto rendimiento</t>
  </si>
  <si>
    <t>Equipamentos culturales, recreativos y deportivos</t>
  </si>
  <si>
    <t>Construcciònde 4 escenarios de deporte extremo</t>
  </si>
  <si>
    <t>Construcciòn, adecuaciòn y mejoramiento de parques y escenarios</t>
  </si>
  <si>
    <t>ENTIDAD: Instituto Distrital de Patrimonio Cultural - Idpc</t>
  </si>
  <si>
    <t>Bogotá Intercultural</t>
  </si>
  <si>
    <t>Aumentar el número de estímulos para el fomento a las prácticas culturales de grupos y comunidades étnicas y campesinas, de mujeres, poblaciones y de sectores rurales y sociales.</t>
  </si>
  <si>
    <t>0506: Divulgación de Patrimonio y Expresiones Culturales</t>
  </si>
  <si>
    <t>-162 (100 adolescencia y 62 infancia)</t>
  </si>
  <si>
    <t>625 - Vigilancia en salud pública</t>
  </si>
  <si>
    <t>Periodicidad</t>
  </si>
  <si>
    <t>Fuente</t>
  </si>
  <si>
    <t>De acuerdo con la normatividad los rangos definidos para el seguimiento de la población  infante y adolescente de la ciudad son los siguientes:</t>
  </si>
  <si>
    <t>CLASIFICACIÓN</t>
  </si>
  <si>
    <t>RANGO</t>
  </si>
  <si>
    <t>Primera Infancia</t>
  </si>
  <si>
    <t>Infancia</t>
  </si>
  <si>
    <t>Meta de ciudad:  Aumentar 41% la tasa de cobertura de atención inicial en el distrito.  Garantizar 41.900 cupos gratuitos en educación inicial para niños, niñas en primera infancia.</t>
  </si>
  <si>
    <t>Atender 4.000 niños y niñas en primera infancia en condición de discapacidad en los jardines infantiles del distrito.</t>
  </si>
  <si>
    <t>Información Requerida</t>
  </si>
  <si>
    <t>Subsidios al pago de servicio de acueducto y alcantarillado</t>
  </si>
  <si>
    <t>% del costo del servicio que es subsidiado por estrato</t>
  </si>
  <si>
    <t>2. Proyecciones NNA 2010</t>
  </si>
  <si>
    <r>
      <t>3.</t>
    </r>
    <r>
      <rPr>
        <b/>
        <sz val="7"/>
        <color indexed="12"/>
        <rFont val="Times New Roman"/>
        <family val="1"/>
      </rPr>
      <t xml:space="preserve">     </t>
    </r>
    <r>
      <rPr>
        <b/>
        <sz val="14"/>
        <color indexed="12"/>
        <rFont val="Calibri"/>
        <family val="2"/>
      </rPr>
      <t>Información</t>
    </r>
    <r>
      <rPr>
        <b/>
        <sz val="14"/>
        <color indexed="12"/>
        <rFont val="Calibri"/>
        <family val="2"/>
      </rPr>
      <t xml:space="preserve"> de Gestión</t>
    </r>
  </si>
  <si>
    <r>
      <t>4.</t>
    </r>
    <r>
      <rPr>
        <b/>
        <sz val="7"/>
        <color indexed="12"/>
        <rFont val="Times New Roman"/>
        <family val="1"/>
      </rPr>
      <t xml:space="preserve">     </t>
    </r>
    <r>
      <rPr>
        <b/>
        <sz val="14"/>
        <color indexed="12"/>
        <rFont val="Calibri"/>
        <family val="2"/>
      </rPr>
      <t>Reporte de la Información Presupuestal</t>
    </r>
  </si>
  <si>
    <t>La entidad responsable de suministrar los datos oficiales de población de la ciudad es la Secretaría Distrital de Planeación con base en datos DANE. En éste archivo en la pestaña Proyecciones 2010 encuentran la información por edades simples correspondientes a niños, niñas y adolescentes de 0 a 18 años.</t>
  </si>
  <si>
    <t>Como producto de las intervenciones en 144 puntos de atención de instituciones prestadoras de servicios de salud [IPS] públicas distritales, las cuales fueron asesoradas en salud sexual y reproductiva a través del ámbito, se beneficiaron de las acciones los usuarios y usuarias atendidas, equivalentes a 69.955 niños y niñas entre los 10 y 14 años [cifras preliminares de población atendida con base en los registros individuales de prestadores de servicios de salud [RIPS], con fecha de corte a 31 de diciembre de 2009]. De manera directa se beneficiaron 4.739  gestantes menores de 18 años atendidas en las 144 instituciones prestadoras de servicios de salud, de la red adscrita, de las cuales 80 están entre los 10 y 14 años [cifras preliminares de población atendida con base en los registros individuales de prestadores de servicios de salud [RIPS], con fecha de corte a 31 de diciembre de 2009]. De manera indirecta, a través de los planes de acción de las 14  mesas locales de sexualidad y género se beneficiaron 126.640  usuarios, de los cuales,  69.955 están entre los 10 y 14 años y  56.685 entre los 15 y 19 años. Como producto de las acciones de promoción y prevención en los ámbitos de vida cotidiana, se beneficiaron de manera indirecta, 310.889 niñas y adolescentes en edad fértil, entre los 10 y 14 años  [Fuente: Departamento Administrativo Nacional de Estadística, Proyecciones de Población de Bogotá Anualizadas 2006-2020]. Como producto de la atención en los 144 puntos de atención de la red adscrita benefician de manera directa 61.560 niñas adolescentes de 10 a 14 años  atendidos a través de la red pública distrital adscrita [cifras preliminares de población atendida con base en los registros individuales de prestadores de servicios de salud [RIPS], con fecha de corte a 31 de diciembre de 2009]. De manera indirecta, a través de los planes de acción de las 14  mesas locales de sexualidad y género se beneficiaron 126.640  usuarios, de los cuales,  69.955 están entre los 10 y 14 años y  56.685 entre los 15 y 19 años. Como producto de las acciones de promoción y prevención en los ámbitos de vida cotidiana, se beneficiaron de manera indirecta, 310.889 niñas y adolescentes en edad fértil, entre los 10 y 14 años  [Fuente: Departamento Administrativo Nacional de Estadística, Proyecciones de Población de Bogotá Anualizadas 2006-2020].</t>
  </si>
  <si>
    <t>La población  con cobertura directa e indirecta del Programa Salud al Colegio es de 500.000 niños, niñas y adolescentes. 1.730 gestantes adolescentes, en posparto y lactantes.[Ultima cifra disponible en el sistema de información de la Entidad, con fecha de corte a diciembre 31 de 2009]</t>
  </si>
  <si>
    <t>Como producto de la atención en los 144 puntos de atención de la red adscrita benefician de manera directa 49.883 niños y  niñas adolescentes de 15 a 19 años  atendidos a través de la red pública distrital adscrita [cifras preliminares de población atendida con base en los registros individuales de prestadores de servicios de salud [RIPS], con fecha de corte a 31 de diciembre de 2009]. De manera indirecta, a través de los planes de acción de las 14  mesas locales de sexualidad y género se beneficiaron 126.640  usuarios, de los cuales,  69.955 están entre los 10 y 14 años y  56.685 entre los 15 y 19 años. Como producto de las acciones de promoción y prevención en los ámbitos de vida cotidiana, se beneficiaron de manera indirecta, 310.889 niñas y adolescentes en edad fértil, entre los 10 y 14 años  [Fuente: Departamento Administrativo Nacional de Estadística, Proyecciones de Población de Bogotá Anualizadas 2006-2020]. De manera directa se beneficiaron 4.739  gestantes menores de 18 años atendidas en las 144 instituciones prestadoras de servicios de salud, de la red adscrita, de las cuales 4.659 están entre los 15 y 19 años [cifras preliminares de población atendida con base en los registros individuales de prestadores de servicios de salud [RIPS], con fecha de corte a 31 de diciembre de 2009]. De manera indirecta, a través de los planes de acción de las 14  mesas locales de sexualidad y género se beneficiaron 126.640  usuarios, de los cuales,  69.955 están entre los 10 y 14 años y  56.685 entre los 15 y 19 años.. Como producto de las acciones de promoción y prevención en los ámbitos de vida cotidiana, se beneficiaron de manera indirecta, 310.889 niñas y adolescentes en edad fértil, entre los 10 y 14 años  [Fuente: Departamento Administrativo Nacional de Estadística, Proyecciones de Población de Bogotá Anualizadas 2006-2020].</t>
  </si>
  <si>
    <t>311.724 adolescentes de 15 a 19 2.348.048
Las políticas deben ser incluyentes, orientadas a garantizar los derechos, en especial de niños y niñas, por lo que se requiere una construcción participativa, una implementación activa con aquellos implicados y aquellas implicadas.</t>
  </si>
  <si>
    <t>115.265 niños y niñas menores de un año de edad fueron beneficiados con tercera dosis de polio, alcanzando el 96,7% de cobertura en este grupo de edad  y 117.039 niños y niñas de un año de edad fueron beneficiados con la dosis de Triple Viral alcanzando el 98,7% de cobertura para este biológico.  [Ultima información preliminar disponible en el Sistema de Información de la Entidad con fecha de corte a diciembre de 2009]. Horarios extendidos: 6.526  niños y niñas menores de un año con terceras dosis de polio  con un aporte al cumplimiento de metas de ese grupo de edad 5.47%, y 6.427  niños y niñas de un año de edad con triple viral con un aporte de 5,42% al cumplimiento de metas . Estrategia extramural: 9.243 niños y niñas menores de un año con terceras dosis de polio con un aporte del 7.8% y 14.310  niños y niñas de un año de edad con triple viral 12,5%. [Ultima información preliminar disponible en el Sistema de Información de la Entidad con fecha de corte a diciembre de 2009]. 196.544  niños y niñas menores de cinco años de edad. Se precisa que la cobertura se calcula para menores de 1 año y 1 año de edad con los biológicos trazadores y para los niños de 2-3-4 y 5 años se vacunan los susceptibles (niños y niñas que no completaron el esquema cuando eran menores de 1 año). 345 auxiliares de enfermería en proceso de certificación en la norma.  [Ultima información preliminar disponible en el Sistema de Información de la Entidad con fecha de corte a diciembre de 2009]. 115.159  niños y niñas menores de un año y 116.915   niños y niñas de un año de edad.   [Ultima información preliminar disponible en el Sistema de Información de la Entidad con fecha de corte a 31 de diciembre de 2009].</t>
  </si>
  <si>
    <t>1) 28.800 niños y niñas de jardines infantiles. 2) La población estimada con cobertura directa e indirecta de las intervenciones del Programa Salud al Colegio es de 500.000 niños, niñas y adolescentes en el año 2009. 3) La población estimada como beneficiaria de las acciones de Ia intervención en IES durante esta vigencia es de 200 jóvenes estudiantes de manera directa; y 38.000 de manera indirecta. Se avanzó en la identificación y priorización de  los procesos que serán fortalecidos a través de capacitaciones en metodologías de promoción de la salud con poblaciones escolarizadas y fortalecimiento de habilidades para la vida a través de acciones colectivas, proyectados para 2010. No obstante, la capacitación no se llevó a cabo en 2009, las intervenciones integrales a la población escolar,  través de la estrategia de Salud al Colegio, se llevaron a cabo en 470 sedes de colegios, 160 jardines y 8 instituciones de educación superior [IES]. De igual forma se adelantaron acciones no integral en 50 instituciones educativas. Desde el equipo de Salud al Colegio, se definieron lineamientos para una estrategia participativa de comunicación a desarrollar dentro de la intervención de inclusión escolar de niños, niñas y adolescentes en situación de desplazamiento en el ámbito escolar. Si bien la actividad no se realizó y no hay población beneficiaria a través de la misma,  con relación a la meta programada para la vigencia, a través de la estrategia Salud al Colegio   se  cubrieron    500. 000 niños niñas y adolescentes. La población  con cobertura directa e indirecta del Programa Salud al Colegio es de 500.000 niños, niñas y adolescentes. La población beneficiaria de la acción especifica 3.531 Docentes, 74 Operarios Tiendas Escolares,  13.561 niños y niñas,12561 Padres de familia  y  88.467 entrega de notas informativas.[Ultima información disponible en el Sistema de Información de la Entidad con fecha de corte a 31 de diciembre de 2009]. 3) La población beneficiaria de las acciones de Ia intervención en IES durante esta vigencia es de 200 jóvenes estudiantes de manera directa; y 38.000 de manera indirecta.</t>
  </si>
  <si>
    <t>7.760 niños, niñas y jóvenes como beneficiarios directos de la intervención, formados como promotores de salud mental y de la línea 106.   Promoción de la utilización de la línea 106 en el ámbito escolar en 440 sedes abordadas por el Programa (500000 beneficiarios indirectos aproximadamente)  visibilizándola como estrategia de salud mental y red de apoyo a partir de las voces e iniciativas de niños, niñas y jóvenes, con base en temas generadores en salud mental (conducta suicida, violencias, consumo de sustancias psicoactivas, crianza positiva, entre otros priorizados por cada grupo promotor) y en procesos de participación y movilización social.[Ultima cifradisponible en el sistema de Información de la entidad con corte a diciembre 31 de 2009]</t>
  </si>
  <si>
    <t>111.073  niñas-os de colegios. 15.974 niños- as de jardines infantiles. [Ultima información  disponible en el sistema de información de la Entidad, con fecha de corte a 31 de diciembre].</t>
  </si>
  <si>
    <t>3.412  niños, niñas y adolescentes institucionalizados en 50 instituciones de protección bajo la rectoría del ICBF. [Ultima cifra disponible en el sistema de información de la Entidad, con fecha de corte a diciembre  31 de 2009]</t>
  </si>
  <si>
    <t xml:space="preserve">En desarrollo de las estrategias lúdicas pedagógicas [Acompañamientos en aula para promover el aprendizaje a través de la actividad física y el juego  en las diferentes áreas del conocimiento], se beneficiaron 1.241 Docentes  de 281 Sedes,  24.232  Estudiantes de primaria y 6.154  Estudiantes de secundaria. En encuentros  de saberes con docentes y estudiantes líderes  para trabajar elementos conceptuales y   metodológicos  que motiven y desarrollen las habilidades y competencias básicas para impulsar y promover la  práctica  de la Actividad Física en la Escuela,  se beneficiaron 1.163 Docentes de 168 Sedes, 1.609 Estudiantes de primaria y  641 Estudiantes de bachillerato. En las jornadas de actividad física colectivas [Aeróbicos, juegos tradicionales, artística, pausas activas, biodanza, festivales de la salud],  se benficiaron 1.503 docentes de 137 Sedes, 9.101 estudiantes de primaria y 17.824 Estudiantes de bachillerato.
Escuela de padres para promover la actividad Física y buscar el soporte familiar: Participan 549 padres de familia.
Estrategias comunicativas. Incluyen uso de un medios orales, visuales , audiovisuales y escritos  que nos permite promocionar, posicionar y fortalecer en la comunidad Educativa la promoción de  la Actividad Física y el uso adecuado del tiempo libre de acuerdo a la oferta institucional y  de las organizaciones de las Localidades.
Participan: 1.936 Docentes, 1.559  Estudiantes de Primaria, 21.943 Estudiantes de Bachillerato
Jornadas con docentes orientadas a  sensibilizar, involucrar   y comprometer al docente en las acciones que se desarrollan con el programa de actividad física, enfatizando que es transversal a todas las áreas de conocimiento y satisfactoria  de múltiples necesidades. Se hace mediante  la biodanza, ejercicios de relajación, higiene postural etc. Participan 864 Docentes.
NOTA:  La  fuente de la información  arriba relacionada es la suministrada por los referentes de las ESE con corte  a septiembre porque el último trimestre será reportado los 10  primeros días del mes de enero del 2010. La información por Localidades, según grupos etáreos solamente fue entregada por las ESE de Usme, Suba, Fontibon, Sur, Hospital Centro Oriente. Debido al cambio en el rango de edad entre la matriz de noviembre a diciembre se hacen ajustes aproximados de los datos dados con corte a septiembre otor a Octubre. Se espera en los primeros días de Enero que llegan los informes del último trimestre aportar la información más completa. 
</t>
  </si>
  <si>
    <t>Se capacitaron 687 Hogares  FAMIS [Familia mujer e infancia],  1,134 Hogares Comunitarios HOBIS, 157 jardines de ICBF, 237 jardines de SDIS; a 3.206 gestantes, 3.750 lactantes, 19.369 menores de cinco años y 7.529 familias visitadas [Última cifra disponible en el Sistema de información de la entidad, con corte a 31 de diciembre de 2009]. En cada una de las localidades que participan de la estrategia se beneficiaron niños y niñas así :30263 en Bosa,  33.709 en  Engativá, 40.920 en Suba  y  35.454 Ciudad Bolívar</t>
  </si>
  <si>
    <t>243.657 niños y niñas menores de 10 años y 94.644 gestantes. Se realizaron 5.559 investigaciones epidemiológicas de campo de las cuales 2.440 corresponden a gestantes con bajo peso y 1.456 a niños y niñas menores de 10 años con desnutrición aguda. Después de hacer ajustes a los sistemas de información se logró determinar como población beneficiaria 462 Profesionales de salud (médicos y enfermeras informados sobre el funcionamiento y resultados del SISVAN). 415 Docentes pertenecientes a los colegios centinela para la vigilancia nutricional. 30 Profesionales en nutrición capacitados en la estrategia AIEPI para su aplicación en las investigaciones epidemiológicas e campo SISVAN.  [Ultima cifra preliminar disponible en el sistema de información de la Entidad, con corte a 30 de diciembre de 2009]. El porcentaje de recuperación nutricional medida por el indicador ganancia de peso es del 86% para las gestantes y 74% para los niños menores de 10 años. Se reportó el ingreso al Sistema de Vigilancia 243.657 registros de niños y niñas menores de 10 años y 94.644 gestantes. 115.853 niños y niñas menores de 18 años que fueron incluidos en el tamizaje nutricional 2009  [Ultimas cifras del sistema de información de la Entidad con corte a 31de diciembre de 2009]</t>
  </si>
  <si>
    <t xml:space="preserve">171.626 mujeres gestantes y lactantes suplementadas con micronutrientes.  [Ultima cifra  disponible en el sistema de información de la Entidad con corte a julio de 2009.]
343.375 niños-as menores de 12 años suplementados en el Distrito.[Ultima cifra preliminar disponible en la entidad con corte a 31 de diciembre]. </t>
  </si>
  <si>
    <t>2.309 vinculados menores de 18 años, quienes se practicaron la prueba del VIH en la red adscrita, se beneficiaron de manera directa [última información disponible en el sistema de información de la entidad con fecha de corte a  diciembre de 2009].  De igual forma, se beneficiaron  17.922 mujeres gestantes menores de 18 años tamizadas. De manera indirecta se beneficiaron 2.409.297 mujeres en edad fértil [Fuente: Departamento Administrativo Nacional de Estadística (DANE). Proyecciones de población de Bogotá anualizada 2006-2020 según sexo y edades simples (o a 24 años y por grupos quinquenales de 25 años en adelante]. 144 IPS asesoradas y asistidas técnicamente en ITS y VIH SIDA, componente de salud sexual y reproductiva que benefician indirectamente a la población total vinculada y subsidiada (3.281.647 usuarios de los cuales 1.462.747 pertenecen a niños, niñas y adolescentes.</t>
  </si>
  <si>
    <t>De manera indirecta se beneficiaron  500.000 niños, niñas y adolescentes.</t>
  </si>
  <si>
    <t>4.238 niños y niñas trabajadores. 1.261 adolescentes trabajadores entre 15 y 18 años. [Ultima cifra preliminar disponible en el sistema de información con fecha de corte a diciembre de 2009]</t>
  </si>
  <si>
    <t>85.021 nuevos niños niñas y adolescentes asegurados en el régimen subsidiado de la seguridad social en salud. [Ultimas cifras disponibles en el sistema de información de la Entidad con corte a diciembre de 2009]</t>
  </si>
  <si>
    <t xml:space="preserve">De 0 a 5 años: 119.196; de 6 a 13 años: 275.756 y  de 14 a 17 años :  183.949.  Total: 578.901 menores de 18 años beneficiados con el régimen subsidiado [Subsidios totales]. Se precisa que esta disminución se debe a depuraciones en la base de datos y a la aplicación por parte del Ministerio de la Protección Social del Acuerdo 408 del Concejo Nacional de Seguridad Social en Salud [CNSSS] y la Resolución 3673 del Ministerio de la Protección Social. El número de afiliados registrados disminuyó con respecto al reporte de septiembre 30 en 25.111 menores de 18 años.  [Ultimas cifras disponibles preliminares  en el sistema de información de la Entidad con corte a diciembre de 2009]. De 0 a 5 años:  1.298; de 6 a 13 años: 4.888; de 14 a 17 años:  4.414; Total: menores de 18 años beneficiados, 10.600  [Subsidios parciales]. Esta disminución se debe a depuraciones en la base de datos del régimen subsidiado y a la aplicación por parte del Ministerio de la Protección Social del Acuerdo 408 del Concejo Nacional de Seguridad Social en Salud [CNSSS] y la Resolución 3673 del Ministerio de la Protección Social. El  número de afiliados registrados disminuyó con respecto al reporte de septiembre30 en 2.206 menores de 18 años. [Ultimas cifras disponibles en el sistema de información de la Entidad con corte a diciembre de 2009]
</t>
  </si>
  <si>
    <t>De manera directa se beneficiaron 4.739 gestantes menores de 18 años atendidas en las 144 instituciones prestadoras de servicios de salud, de la red adscrita [cifras de población atendida con base en los registros individuales de prestadores de servicios de salud [RIPS], con fecha de corte  a diciembre 31 de 2009].  A través de las acciones de promoción de la salud y con la realización de la  Jornada de Salud sexual y Reproductiva se beneficiaron de manera indirecta [Fuente: Departamento Administrativo Nacional de Estadística (DANE). Proyecciones de población de Bogotá anualizada 2006-2020 según sexo y edades simples (0 a 24 años y por grupos quinquenales de 25 años en adelante].</t>
  </si>
  <si>
    <t xml:space="preserve">De manera directa se beneficiaron 4.739  gestantes menores de 18 años atendidas en las 144 instituciones prestadoras de servicios de salud, de la red adscrita [cifras de población atendida disponibles en registros individuales de prestadores de servicios de salud [RIPS], con fecha de corte  a diciembre 31 de 2009]. </t>
  </si>
  <si>
    <t xml:space="preserve">Reducir en 75% los embarazos en adolescentes entre 10 y 14 años </t>
  </si>
  <si>
    <t>95% de cumplimiento para los bilógicos Hepatitis A y Rotavirus.</t>
  </si>
  <si>
    <t xml:space="preserve">Aplicar 20.000 vacunas contra neumococo para recién nacidos de sisben 1 y 2. Nota Aclaratoria: La Secretaría Distrital de Salud de Bogotá D.C. solicitó a la Secretaría Distrital de Planeación, la reprogramación anual del número de dosis, de manera que para 2010 se reprogramaran 356.961 dosis, debido al apoyo del Ministerio de la Protección Social de incluir estas dosis como parte del PAI. Con estas dosis se  cubre con coberturas útiles al 100% de la población de Bogotá objeto de la vacunación. </t>
  </si>
  <si>
    <t>Cubrir 100% de instituciones 160 jardines infantiles y 422 Instituciones educativas que se abordarán con esta estrategia</t>
  </si>
  <si>
    <t>Aumentar la lactancia materna hasta los 4.7 meses de edad (Mandato del plan de desarrollo aprobado por acuerdo - Concejo)</t>
  </si>
  <si>
    <t>Aumentar la lactancia materna hasta los 4.7  meses de edad (Mandato del plan de desarrollo aprobado por acuerdo - Concejo)</t>
  </si>
  <si>
    <t>Identificar 3.912 niños y niñas trabajadores, para promover la desvinculación laboral y su inclusión y permanencia en el sistema educativo</t>
  </si>
  <si>
    <t>Selección y sensibilización de 100  espacios locales distintos a la escuela para el desarrollo de las actividades.</t>
  </si>
  <si>
    <t xml:space="preserve">Identificar 1.700 jóvenes trabajadores para la generación de condiciones de trabajo protegido </t>
  </si>
  <si>
    <t xml:space="preserve">Mantener la cobertura en servicios No POSs para el 15% de la población afiliada al régimen subsidiado. Con énfasis en menores de 18 años. Nota Aclaratoria: Se precisa que la meta complementaria es: Mantener la cobertura en servicios de salud para el 60% de la población pobre no asegurada. </t>
  </si>
  <si>
    <t xml:space="preserve">Atender gratuitamente al 78% a los menores de 5 años y en condición de discapacidad severa, siempre que estén afiliadas al régimen subsidiado y clasificadas en los niveles I y II de SISBEN </t>
  </si>
  <si>
    <t>Cubrir 356 micro territorios con acciones preventivas de salud para el núcleo familiar, con énfasis en niños y niñas</t>
  </si>
  <si>
    <t>Reducir en 75% los embarazos en adolescentes entre 10 y 14 años (abuso sexual)</t>
  </si>
  <si>
    <t>*  Suministrar 50.301 apoyos  alimentarios a la población en inseguridad alimentaria y nutricional.
*   Entregar 52.567  bonos de apoyo alimentario fin de año a niños-as y adolescentes antedidos en Jardines Infantiles y Centros Crecer.</t>
  </si>
  <si>
    <t>*  Atender 890 denuncias de delitos sexuales
* Atender 60.000 demandas por violencia intrafamiliar en Comisarías de Familia</t>
  </si>
  <si>
    <t xml:space="preserve">46.250 Padres madres y cuidadores formados </t>
  </si>
  <si>
    <t xml:space="preserve">* Realizar 2.020 auditorias a prestadores de servicios sociales de Educación Inicial.
* Avance en la construcción del Sistema de Calidad para garantizar la prestación de los servicios sociales </t>
  </si>
  <si>
    <t>Suministrar  Almuerzos diarios a 8.314 niñez, juventud, madres gestantes, lactantes, adultos y las familias en sus diversidades múltiples y en territorios multidimensionales de Bogotá que se encuentran en extrema pobreza y vulnerabilidad.</t>
  </si>
  <si>
    <t>Suministrar a 4.394 Beneficiarios del IDIPRON alimentación.</t>
  </si>
  <si>
    <t>Atender de manera integral 935 jóvenes en situación de vida en calle en  modalidad institucionalizada.
Atender de manera integral  426 Jóvenes en situación de vida en calle en  modalidad de externado.
Integrar a 2.370 Jóvenes pandilleros en procesos de educación formal, no formal y en talleres ocupacionales.</t>
  </si>
  <si>
    <t xml:space="preserve">1. Realizar a 8 equipamientos de primera infancia de la SDIS Reforzamiento estructural y remodelación.
2. Realizar obras de mantenimiento preventivo y correctivo a 161 equipamientos de atención a infancia y adolescencia.
3. Prestar servicios de vigilancia en 226 equipamientos de atención a niños - as 
4. Prestar servicios de Aseo, cafetería y preparación de alimentos en 96 equipamientos de atención a niños - as </t>
  </si>
  <si>
    <t>Desarrollar un lineamiento pedagógico Distrital que orienten el componente de educación inicial para la atención integral en primera infancia según el artículo 29 de la Ley 1098 de 2006.</t>
  </si>
  <si>
    <t>25% de la implementación de la  Politíca Pública de Infancia.</t>
  </si>
  <si>
    <t>Lograr el 95% de coberturas de vacunación para niños menores de un año y un año de edad.</t>
  </si>
  <si>
    <t>Porcentaje (%) de Gestión Alcanzado - Acumulado al 2do trimestre</t>
  </si>
  <si>
    <t>Porcentaje (%) de Gestión Alcanzado - Acumulado al 3er trimestre</t>
  </si>
  <si>
    <t>Porcentaje (%) de Gestión Alcanzado - Acumulado al 4to trimestre</t>
  </si>
  <si>
    <t>% de ejecución Presupuestal</t>
  </si>
  <si>
    <t>Fuente de información</t>
  </si>
  <si>
    <t xml:space="preserve">INFANCIA Y ADOLESCENCIA </t>
  </si>
  <si>
    <t>INFORMACIÓN COMPLEMENTARIA</t>
  </si>
  <si>
    <t>8. Población NNA beneficiada</t>
  </si>
  <si>
    <t>En esta columna deberá consignarse la información de la población de NNA atendida durante el trimestre. Debe coincidir con la informació que se reporta en la matriz presupuestal y en el informe de Word.</t>
  </si>
  <si>
    <r>
      <t>4. Periodicidad del Reporte</t>
    </r>
    <r>
      <rPr>
        <sz val="12"/>
        <color indexed="8"/>
        <rFont val="Calibri"/>
        <family val="2"/>
      </rPr>
      <t xml:space="preserve">
Debe contener el dato de con qué periodicidad la entidad va a reportar esta información, a saber, trimestral, semestral ó anual.</t>
    </r>
  </si>
  <si>
    <r>
      <t xml:space="preserve">5. Fuente 
</t>
    </r>
    <r>
      <rPr>
        <sz val="12"/>
        <color indexed="8"/>
        <rFont val="Calibri"/>
        <family val="2"/>
      </rPr>
      <t>Cada entidad debe informar de manera clara la fuente de los datos que está reportando.</t>
    </r>
  </si>
  <si>
    <r>
      <t>6. Avance de la Gestión</t>
    </r>
    <r>
      <rPr>
        <sz val="12"/>
        <color indexed="8"/>
        <rFont val="Calibri"/>
        <family val="2"/>
      </rPr>
      <t xml:space="preserve">
La información de avance de la gestión debe reportarse desagregada en dos partes. La primera corresponde a las metas alcanzadas y que debe corresponder a información numérica de acuerdo con la metra programada para la vigencia, y en la columna siguiente debe ir el porcentaje estimado del avance de la gestión del trimestre teniendo en cuenta que la suma de los cuatro trimestres debe dar un 100%
La información detallada de éste punto es la que se remite en el informe de gestión que las entidades envían en el documento Word.</t>
    </r>
  </si>
  <si>
    <r>
      <t xml:space="preserve">1. Información Plan de Desarrollo </t>
    </r>
    <r>
      <rPr>
        <sz val="12"/>
        <color indexed="8"/>
        <rFont val="Calibri"/>
        <family val="2"/>
      </rPr>
      <t xml:space="preserve">- </t>
    </r>
    <r>
      <rPr>
        <sz val="12"/>
        <color indexed="10"/>
        <rFont val="Calibri"/>
        <family val="2"/>
      </rPr>
      <t>NO ADMITE MODIFICACIONES</t>
    </r>
    <r>
      <rPr>
        <i/>
        <sz val="12"/>
        <color indexed="8"/>
        <rFont val="Calibri"/>
        <family val="2"/>
      </rPr>
      <t xml:space="preserve">
</t>
    </r>
    <r>
      <rPr>
        <sz val="12"/>
        <color indexed="8"/>
        <rFont val="Calibri"/>
        <family val="2"/>
      </rPr>
      <t xml:space="preserve">Las primeras 4 columnas de la  matriz de gestión corresponden a la misma información del Plan de Desarrollo que se consgna en la matriz de presupuesto.  </t>
    </r>
  </si>
  <si>
    <r>
      <t xml:space="preserve">2. Metas Programadas </t>
    </r>
    <r>
      <rPr>
        <sz val="12"/>
        <color indexed="10"/>
        <rFont val="Calibri"/>
        <family val="2"/>
      </rPr>
      <t>- NO ADMITE MODIFICACIONES</t>
    </r>
    <r>
      <rPr>
        <i/>
        <sz val="12"/>
        <color indexed="8"/>
        <rFont val="Calibri"/>
        <family val="2"/>
      </rPr>
      <t xml:space="preserve">
</t>
    </r>
    <r>
      <rPr>
        <sz val="12"/>
        <color indexed="8"/>
        <rFont val="Calibri"/>
        <family val="2"/>
      </rPr>
      <t>La columna 5 corresponde a las metas programadas para la vigencia 2010 y también coincide con la información que se ha consignado en la matriz de presupuesto. 
El sentido de esta columna es poder  establecer la coherencia entre la información que se reporta en terminos presupuestales y la que corresponde a la gestión.</t>
    </r>
  </si>
  <si>
    <r>
      <t>3. Información Requerida -</t>
    </r>
    <r>
      <rPr>
        <sz val="12"/>
        <color indexed="8"/>
        <rFont val="Calibri"/>
        <family val="2"/>
      </rPr>
      <t xml:space="preserve"> </t>
    </r>
    <r>
      <rPr>
        <sz val="12"/>
        <color indexed="10"/>
        <rFont val="Calibri"/>
        <family val="2"/>
      </rPr>
      <t>ADMITE MODIFICACIONES</t>
    </r>
    <r>
      <rPr>
        <sz val="12"/>
        <color indexed="8"/>
        <rFont val="Calibri"/>
        <family val="2"/>
      </rPr>
      <t xml:space="preserve">
Describe de manera amplia las acciones que que cada entidad ha venido reportando. 
Los contenidos de esta columna pueden no abarcar todos los proyectos que las entidades desarrollan y por ende se pueden incluir elementos en la misma.</t>
    </r>
  </si>
  <si>
    <t>1. Programa plan de desarrollo
2. Proyecto plan de desarrollo
3. Meta plan de desarrollo
4. Inversión proyectada 2008 - 2012 (millones $)
5. Proyecto de inversión
6. Recursos invertidos 2008
7. Recursos invertidos 2009 (millones $)
8. Número de personas beneficiadas (31 diciembre de2009)
9. Metas programadas 2010
10.Recursos programados (millones de $)
11.Presupuesto vigente (millones de $)
12.Ejecución primer trimestre (millones de $)
13.Ejecución segundo trimestre (millones de $)
14.Porcentaje (%) de gestión alcanzado - Acumulado al 
15.Metas alcanzadas al trimestre de análisis
16.Número de personas beneficiadas al trimestre de análisis
17.Ejecución tercer trimestre (millones de $)
18.Porcentaje (%) de gestión alcanzado - Acumulado al 
19.Metas alcanzadas al trimestre de análisis
20.Número de personas beneficiadas al trimestre de análisis
21.Ejecución cuarto trimestre (millones de $)
22.Porcentaje (%) de gestión alcanzado - Acumulado al 
23.Metas alcanzadas al trimestre de análisis
24.Número de personas beneficiadas al trimestre de análisis
25. % de ejecución
26.Fuente de información
27.Periodicidad</t>
  </si>
  <si>
    <t>60.0%</t>
  </si>
  <si>
    <t xml:space="preserve">En el primer semestre, se atendieron 172.750 visitantes a través de interpretación ambiental, foros, eventos, exposiciones y actividades externas, discriminados de la siguiente manera: 159.238 personas a través de taquilla, discriminados de la siguiente manera: 45.120 niños que representan el 28,33%, 112.573 jóvenes y adultos con el 70,69% y 1.545 de Sisben correspondiente al 0,97%. Adicionalmente dentro de la programación de la Agenda Cultural con los eventos internos se atendieron a 160.207 de las cuales 146.695 están incluidos dentro del reporte de taquilla al mes de junio y 5.784 personas fueron atendidas a través de los eventos externos de la entidad. Del total de personas atendidas que ingresaron por taquilla 55.271 personas corresponden a población de infancia y adolescencia, de las cuales 33.613 fueron atendidos por el programa de interpretación ambiental en recorridos y ecotalleres.        </t>
  </si>
  <si>
    <t>0 a 5 años: primera infancia: 1.937 niñas y 1.853 niños
6 a 12 años: Infancia: 14.704 niñas y 13.414 niños.
13 a 18 años: Adolescencia: 5.333 mujeres y 4.818 hombres.
Adicionalmente se atendieron a 13.212 NNA sin determinación de género y edad.                         
De total de personas que ingresaron por taquilla, 55.271corresponden a población de NNA, de los cuales 42.059 fueron discriminados por género  así: 21.974 mujeres y  20.085 hombres.</t>
  </si>
  <si>
    <t>57.0%</t>
  </si>
  <si>
    <t>A 30 de junio de 2010, en el marco del Convenio Interadministrativo No. 1887- 2009 suscrito con la Secretaria Distrital de Educación y el Jardín Botánico José Celestino Mutis, Programa Reverdece la Vida,  fueron vinculadas al proceso de formación de gestores ambientales  un total de 14.236 personas (7.989 mujeres y 6.247 Hombres), a través de 580 sesiones de trabajo y de 8 expediciones ambientales a los escenarios de la Estructura Ecológica Principal: Parques Ecológicos Distritales Meandro del Say y Jaboque, Aulas Ambientales Soratama y Entre Nubes, Parque Presa Seca Cantarrana, las Veredas Pasquilla y Verjón Bajo y el Jardín Botánico José Celestino Mutis.</t>
  </si>
  <si>
    <t>6 a 12 años: Infancia: 2.875 niños y 2.983 niñas.
13 a 18 años: Adolescencia: 3.353 hombres y 2.783 mujeres. 
Del Total de la población atendida 11.994 corresponde a población de NNA y 2.242 Docentes</t>
  </si>
  <si>
    <t>Subdirección Educativa - Jardín Botánico.</t>
  </si>
  <si>
    <t>Mensual</t>
  </si>
  <si>
    <t xml:space="preserve">En este segundo trimestres nos encontramos al cierre de la Ley de Garantía y no se ha generado contrataciones. Adicional a esto se esta terminando la ejecución del 2009. </t>
  </si>
  <si>
    <t>• Se firmo el  Convenio  de Asociación de Asociación No.3973 de 2009, mediante el cual atenderán los 40  adolescentes en el 2010, teniendo en cuenta que se encuentra en su primera fase de ejecución y la fase de atención se inicio en el mes de Abril de 2010, con inicio de atención de 32 adolescentes, consideramos un logro importante que se haya podido arrancar sin encontrarse totalmente terminada la fase de implementación.  El Proyecto global liderado por la Secretaria de Integración Social y los demás socios del Convenio, esta diseñado para atender un numero de 300 Adolescentes, durante la vigencia del Convenio 3973 de 2009 que va ha 25 meses contados a partir de la firma de este. 
• Se ha conseguido una valiosa  colaboración y credibilidad en el Modelo, por parte de las autoridades jurisdiccionales del Centro de Servicios Judiciales para Adolescentes -CESPA, para la remisión de los y las adolescentes sancionados y con medida de restablecimiento de derechos. A la fecha  han sido remitidos 92 adolescentes que están siendo atendidos en el Centro - CEATIN.
• Se han desarrollado las acciones de interlocución con los actores de la rama judicial, defensores y fiscales a través del desarrollo de los seminarios y encuentros con éstos en escenarios académicos y contando con la presencia de autoridades internacionales en temas como  “Mediación En El Sistema De Responsabilidad Penal Adolescente” Se contó con la asistencia de 111 personas de diferentes entidades, se destaca la participación de la Fiscalía, Instituto Colombiano de Bienestar Familiar –ICBF-, Concejo de Bogotá, Policía Nacional, Éxito, Terciarios capuchinos, Consejo de la Judicatura, ICBF, Juzgados, Personería, Defensoría y por supuesto de los socios del convenio; Secretaría Distrital de Integración Social, Secretaría de Gobierno, Artesanías de Colombia, Fundación Circo Ciudad y Organización Internacional para las Migraciones. De igual manera, participó el equipo técnico del Centro de Atención Integral al adolescente del SRPA.</t>
  </si>
  <si>
    <t>6 a 13 años</t>
  </si>
  <si>
    <t>14 a 18 años</t>
  </si>
  <si>
    <t xml:space="preserve">Del trabajo local realizado en el 2010 en las (5) cinco Casas de Justicia y el Centro de Convivencia, se logró alcanzar un cumplimiento a la meta del cincuenta y tres por ciento (53,20%), adicionalmente, al estar esta meta, sustentada en el Programa Justicia de Género, estructurado en (5) cinco componentes, la implementación de los planes de acción en cada uno de ellos, ha permitido cualificar el trabajo jurídico especializado, a través de la puesta en marcho de las siguientes estrategias:
• Componente de Sensibilización y/o formación: 
o Puesta en marcha del III Diplomado “Género, Justicia y Derecho: Estrategias Litigio de Género” en convenio con la Universidad Autónoma de Colombia. 
• Asesoría Jurídica Especializada – Litigio de Género: 
o Barras: Son un espacio de debate jurídico especializado, dinamizado por la participación de las abogadas y la Politóloga integrantes del PJdG-PPMYEG, las y los estudiantes del Diplomado, y las y los integrantes de la Red Litigio de Género, quienes previo estudio de un tema específico  conceptúan sobre las barreras de acceso a la justicia, los obstáculos y las posibles salidas jurídicas en el escenario concreto de las actuaciones procesales. Se han realizado dos barras especializadas sobre Interrupción Voluntaria del Embarazo – IVE e Inasistencia Alimentaria. 
o Estudios de Caso: Es un espacio creado para fortalecer la argumentación jurídica desde un Enfoque de Derechos con Perspectiva de Género, que permite analizar en el Equipo del PJdG - PPMYEG las dificultades y las posibles salidas jurídicas en los casos específicos que se llevan ante las instancias judiciales desde el PJdG – PPMYEG y/o la Red Litigio de Género. Se realizó una jornada cada trimestre.
</t>
  </si>
  <si>
    <t xml:space="preserve">• En el mes de Abril se dió inicio a la ejecución del Convenio Marco Interadministrativo de Cooperación número 1438 de 2009, cuyo objeto es Aunar esfuerzos entre el ICBF y EL DISTRITO con el fin de implementar los programas especializados para el cumplimiento de las sanciones no privativas de la libertad y privativas de la libertad.
• Con la firma del Convenio anteriormente señalado se institucionalizo la mesa distrital de coordinación del Sistema de Responsabilidad Penal para  Adolescentes en el Distrito Capital.
• Se viene trabajando el plan de acción para el 2010.
• El convenio permitió que se instalará en el mes de Marzo, la mesa de Equipamientos de Protección y Reeducación para Adolescentes Infractores del D.C.
• Está para firmar un nuevo convenio con la Congregación de Religiosos Terciarios Capuchinos, mediante el cual atenderán a 239 adolescentes con pena privativa de la libertad, en la Escuela De Trabajo el Redentor
</t>
  </si>
  <si>
    <t>El Proyecto 593 durante el segundo trimestre del presente año continuó el desarrollo de sus dos componentes de trabajo es decir, las escuelas de artes, ciencias, música y el apoyo a iniciativas juveniles. A través del primer componente el Programa mantuvo el desarrollo de las escuelas de artes plásticas, teatro, danza, literatura, ciencia y escuelas sinfónicas de formación musical en las localidades de Kennedy, Ciudad Bolívar, Usaquén y de manera más reciente en Tunjuelito, particularmente en zonas de alta vulnerabilidad social y económica, y en contextos de violencia. En términos de cobertura, en el segundo trimestre del presente año, se vincularon adicionalmente 317 niños, niñas y adolescentes.</t>
  </si>
  <si>
    <t>Acumulado al 2do trimestre: 787 niñas, niños y adolescentes.
Segundo Trimestre Vigencia 2010:
317 niñas, niños y adolescentes:
- Menores de 13 Años (136 niños y 164 niñas)
- Entre 14 - 17 Años (2 hombres y 15 mujeres)</t>
  </si>
  <si>
    <t>53, 13 %</t>
  </si>
  <si>
    <t>A la fecha no se ha iniciado el proceso, está proyectado para noviembre y diciembre de 2010.</t>
  </si>
  <si>
    <t xml:space="preserve">Se continua con el proceso de formacion artistica, en el Segundo trimestre desarrollando 57 talleres para 180 niños y niñas (entre 8 y 14 años) que fueron vinculados desde el primer trimestre, para trabajar en procesos de cultura de paz mediante métodos alternativos de formación artística cuyo objetivo es lograr la sensibilización y reconstrucción del tejido social, en las siguientes localidades:
• Ciudad Bolívar: 12 talleres en teatro y circo para 40 niños y niñas
• Rafael Uribe: 12 talleres en danza y circo para 28 niños y niñas
• Engativa: 10 talleres en danza y pintura para 48 niños y niñas
• San Cristóbal: 12 talleres en música y teatro para 27 niños y niñas
• Usaquén: 11 talleres en música y teatro para 37 niños y niñas.
Se realizó un torneo de Microfutbol en la localidad de San Cristóbal durante los meses de Mayo y Junio con la participación de 70 niños, niñas y jóvenes hijos de familias de las comunidades receptoras. Otro torneo en las localidades de Suba, Engativá, Ciudad Bolívar y Fontibón con la participación de 80 niños y jóvenes de las comunidades receptoras.
Se realizó un campeonato de futbol en la localidad de Ciudad Bolívar con la participación 10 jóvenes desmovilizados y de la comunidad.
Se realizó un conversatorio sobre Cultura de Paz en el Colegio IED Almirante Padilla de la Localidad de Usme con la participación de 62 jóvenes.
</t>
  </si>
  <si>
    <t>Acumulado al 2do trimestre: 402 niños, niñas y jóvenes.
 Segundo Trimestre Vigencia 2010: 222 niños, niñas y jóvenes.</t>
  </si>
  <si>
    <t xml:space="preserve">9,13 %
</t>
  </si>
  <si>
    <t>En la actualidad se encuentran distintos estudios previos para la adquisición de  equipos tecnológicos,  tales como: computadores, impresoras y video beam. Por otra parte, también se vienen adelantando los estudios previos para automóviles que irían al servicio de la Policía de Infancia y Adolescencia. A la fecha la ciudad cuenta con 214 policías de esta especialidad que serían los directos beneficiarios. Cabe destacar que las actividades para la realización de las actividades anteriormente descritas los recursos no salen de los $300 millones en mención.</t>
  </si>
  <si>
    <t>No reporta</t>
  </si>
  <si>
    <t>Gerencia Proyecto 295</t>
  </si>
  <si>
    <t>trimestral</t>
  </si>
  <si>
    <t>Gerencia Proyecto 663</t>
  </si>
  <si>
    <t xml:space="preserve">trimestral </t>
  </si>
  <si>
    <t>Gerencia Proyecto593</t>
  </si>
  <si>
    <t>Gerencia Proyecto 595</t>
  </si>
  <si>
    <t>Para la vigencia 2010 se tiene programado: Implementar estrategias tendientes a la erradicación del trabajo infantil de la población recicladora de oficio en condiciones de pobreza y vulnerabilidad. Y se tiene como META: Mantener 1200 menores, hijos de recicladores en programas tendientes a la erradicación del trabajo infantil.
Se identificaron 63 NNA que estaban ejerciendo trabajo de reciclaje. 
La Entidad desarrolló procesos de erradicación y prevención del trabajo infantil en la totalidad de la población identificada (1200 NNA, los cuales incluyen los 63 NNA que estaban ejerciendo trabajo de reciclaje), con énfasis en los niños en situación de trabajo, desvinculándolos de dicha labor.
Se identificaron 61 casos de NNA en situaciones socio familiares que vulneran sus derechos tales como maltrato infantil, abuso sexual, conflicto y/o violencia intrafamiliar, negligencia y abandono, desescolarización e inasistencia en alimentación y salud; los cuales se referenciaron a las instancias institucionales correspondientes, ya sea el ICBF, Proniño, Instituciones Educativas, Secretaria de Integración Social, Comedores Comunitarios y Cadel, Ministerio de Protección Social, Centros Amar, Comisarías de familia, Organizaciones Sociales y culturales, además de la red distrital de salud a través de los hospitales locales</t>
  </si>
  <si>
    <t xml:space="preserve">Operadores: Centro de Orientación y Atención Familiar Familia Viva Convenio o11 de 2009, Corporación Avance y Equidad Convenio 012 de 2009, Fundación Educación Futuro Convenio 013 de 2009,  Corporación para el Desarrollo Arkos Convenio 015 de 2009 y Compañia para el Desarrollo Etnocultural y Social Kurumani Convenio 019 de 2009.    </t>
  </si>
  <si>
    <t>Se analizó la propuesta de anteproyecto arquitectónico, la propuesta museografica para el
 Museo del Espacio, y la revisión de los diseños de la adecuación técnica del edificio del Planetario de Bogotá, teniendo
 en cuenta los resultados de los diagnósticos del sistema eléctrico, hidrosanitario y bioclimático presentados. Se
 estableció el cronograma de actividades a desarrollar para el cumplimiento de los objetivos del proyecto.</t>
  </si>
  <si>
    <t>Durante la modernización del Planetario Distrital no se programaron beneficiarios</t>
  </si>
  <si>
    <t>Durante el semestre logró una participación de 103.083 niños, niñas y adolescentes participantes en las diferentes actividades desarrolladas en el Planetario de Bogotà.</t>
  </si>
  <si>
    <t>103.083
Hombres 53.936 
Mujeres 49.116</t>
  </si>
  <si>
    <t xml:space="preserve">Una vez confirmadas las normas que aplican sobre cada uno de los predios seleccionados y realizadas las consultas con
 la Secretaría Distrital de Planeación se encontró que el predio localizado en Usme se ajusta a las condiciones del Plan
 Maestro y no se encuentra inmerso en ningún plan parcial, mientras que los predios de Ciudad Bolívar y de Suba se
 encuentran en planes parciales, por lo que no es posible su adquisición en el corto plazo debido a que estar en un plan
 parcial implica un largo periodo para su aprobación y adopción, lo cual pone en riesgo el cumplimiento de la meta en el
 tiempo previsto.
</t>
  </si>
  <si>
    <t>Durante la construcciòn de los escenarios culturales no se programaron beneficiarios</t>
  </si>
  <si>
    <t>17.058 beneficiados (No se tiene el dato desagregado)</t>
  </si>
  <si>
    <t xml:space="preserve">Durante el semestre se beneficiaron 17.058 niños, niñas y adolescentes en eventos artísticos, culturales y del patrimonio,en  la feria de servicio al ciudadano en las localidades de Los Mártires,Simón Bolivar y Bosa y mediante el apoyo al Festival Iberoamericano de Teatro.
</t>
  </si>
  <si>
    <t xml:space="preserve">Durante el segundo trimestre se realizó el proceso de apertura de la convocatoria Amor por Bogotá: Cultura Ciudadana para la democracia. Fueron seleccionadas 20 propuestas para iniciar la implementación desde el mes de agosto. Dentro las  propuestas seleccionadas se tiene previsto beneficiar la población de infancia y adolescencia. </t>
  </si>
  <si>
    <t xml:space="preserve">Actualmente se está consolidando el total de población que se proyecta beneficiar con la ejecución de los proyectos ganadores. Información que será actualizada en el reporte del III trimestre. </t>
  </si>
  <si>
    <t>Informes de Gestión mensuales, persona responsable:
Deisy Vargas y Bryan Moreno</t>
  </si>
  <si>
    <t>33.00%</t>
  </si>
  <si>
    <t>Al segundo trimestre del año se beneficiaron 190,684 personas, que equivale a un 33% de la meta anual</t>
  </si>
  <si>
    <t>100.00%</t>
  </si>
  <si>
    <t>La meta de las 126 escuelas se alcanzó en el primer trimestre</t>
  </si>
  <si>
    <t>5,648 niños,niñas y jòvenes</t>
  </si>
  <si>
    <t>135.00%</t>
  </si>
  <si>
    <t>Al segundo trimestre del año se beneficiaron 222 personas, que equivale a un 135% de la meta anual. Masculino 119; Femenino 103</t>
  </si>
  <si>
    <t>222 deportistas</t>
  </si>
  <si>
    <t>Informes comité sectorial mensual,responsable: Cleotilde Guachetá.</t>
  </si>
  <si>
    <t>La convocatoria para el desfile de niños y niñas inició el proceso de recepción de propuestas para su adjudicación. La ejeución se realizará en el segundo semestre de la vigencia.</t>
  </si>
  <si>
    <t>No se reportan beneficiarios en el período</t>
  </si>
  <si>
    <t xml:space="preserve">El programa apoyos concertados, está en proceso de verificación y evaluación de propuestas para adjudicar en el segundo semestre.  Con respecto a las alianzas estrategicas  el proceso de concertación esta en desarrollo.  </t>
  </si>
  <si>
    <t>Informes comité sectorial, persona responsable: Juana Osorio</t>
  </si>
  <si>
    <t>Se realizan 105 actividades con 12,070 participantes que vinculan poblaciones de infancia y adolescencia. El 52.71% son hombres y el 47,28% son mujeres,</t>
  </si>
  <si>
    <t>Número de personas beneficiadas en el 2do trimestre 12.070, desagregadas así: Hombres  6.043 y Mujeres 6.027. De 0 a 6 años - 3.691, de 7 a 14 años - 7, 14 a 17 años Adolescencia - 285, de 18 a 26 años Juventud - 29, de 27 a 49 años Adultos - 371, 50 años en adelante Adulto Mayor - 25.669.</t>
  </si>
  <si>
    <t>Se entregan 3 premios dentro del concurso Danza del Mundo donde 18% son niños y niñas; Se entregan 6 premios dentro del Concurso Tradición y Proyección Folclórica donde el 32,45% son niños y niñas</t>
  </si>
  <si>
    <t>Número de personas beneficiadas en el 2do trimestre 204, desagregas así: Danza del Mundo 53 participantes de los cuales 10 fueron niños y/o niñas; Concurso Tradición y Proyección Folclórica 151 participantes de los cuales 49 fueron niños y/o niñas.</t>
  </si>
  <si>
    <t>Informes comité sectorial, responsable: Luz Mery Pongutá</t>
  </si>
  <si>
    <t>Se atendieron 111,756 NNA, así: 24,820 niños de 0 a 5 años, 49,193 niños de 6 a 13 años y 37,743 adolescentes. Por áreas: 6,954 en Audiovisuales, 90,951 en Literatura y 13,851 en Artes Plásticas</t>
  </si>
  <si>
    <t>Se atendieron 20,182 NNA, así: 7,243 niños de 0 a 5 años, 3,808 niños de 6 a 13 años y 9,131 adolescentes. Por áreas: 7,138 en la programación nocturna, 12,021 en la programación diurna y 1,023 en Artes Plásticas</t>
  </si>
  <si>
    <t>Informes comité sectorial, responsable: Santiago Echeverry</t>
  </si>
  <si>
    <t>FVS
Subgerencia Ténica y Administrativa</t>
  </si>
  <si>
    <t>Cubrir 470 sedes de colegios -160 jardines - 8 IES</t>
  </si>
  <si>
    <t>Incrementar en un 6.3% la cobertura del Programa de Salud Oral (flúor, sellantes, control de placa y detartraje) en la población afiliada a los regímenes subsidiado y contributivo.</t>
  </si>
  <si>
    <t>Cubrir 58 instituciones para la atención de menores en protección con la estrategia de gestión y acción en salud pública</t>
  </si>
  <si>
    <t>Aumentar a 60% la población mayor de 13 años que practica alguna actividad física de forma habitual.</t>
  </si>
  <si>
    <t>Implementar en el 81% de las Empresas Sociales del Estado adscritas a la SDS las estrategias de atención materno infantil AIEPI, IAMI y IAFI infantil AIEPI, IAMI y IAFI.</t>
  </si>
  <si>
    <t>Reducir a 11.4% la tasa de bajo peso al nacer NOTa Aclaratoria: la programación dela reducción de bajo peso al nacer para los cuatro años es paulatina. El valor programado para 2010 es de 11.4%.</t>
  </si>
  <si>
    <t>Monitorear la reducción de desnutrición global en el 100% de los niños y niñas  menores de 5 años.</t>
  </si>
  <si>
    <t>Diseñar e implementar 1 modelo de prevención de accidentes, en los espacios donde transcurre la cotidianidad de niñas,niños y adolescentes,  en las 20 localidades.</t>
  </si>
  <si>
    <t xml:space="preserve">Formar 20.000 niños - as o adolescentes en acciones educativas, legales y de control para la restitución de los derechos. </t>
  </si>
  <si>
    <t>Formar a 6.500 niños, niñas y adolescentes en desarorollo humano, proyectos de vida y derechos sexuales y reproductivos para contribuir  a la prevención del abuso sexual infantil</t>
  </si>
  <si>
    <t xml:space="preserve">Lograr 1.450 cupos de atención para niños, niñas y adolescentes en condicion de discapacidad en los centros crecer </t>
  </si>
  <si>
    <t xml:space="preserve">Atender Integralmente 6.070 niños, niñas y adolescentes en situación de vulneración de derechos.  </t>
  </si>
  <si>
    <t xml:space="preserve">Sostenimiento de 12.000 cupos </t>
  </si>
  <si>
    <t xml:space="preserve">Controlar la prevalencia de infección por VIH en población gestante no asegurada a través de la Asesoría y asitencia técnica al 100% de las Instituciones prestadoras de servicio. </t>
  </si>
  <si>
    <t>Aumentar en 2% la denuncia de violencia intrafamiliar y violencia sexual.</t>
  </si>
  <si>
    <t>Disminuir en un 3.28% de la tasa de trabajo infantil.</t>
  </si>
  <si>
    <t>Reducir la tasa de mortalidad en menores de 1 año a 11.1  por 1.000 nacidos vivos.</t>
  </si>
  <si>
    <t>A junio de 2010 afiliar a 250.000 nuevos ciudadanos al Régimen Subsidiado.</t>
  </si>
  <si>
    <t>Garantizar la continuidad de 1.608.495 afiliados al Régimen Subsidiado.</t>
  </si>
  <si>
    <t xml:space="preserve"> Reducir la tasa de mortalidad materna por debajo de 37  por 100.000 nacidos vivos </t>
  </si>
  <si>
    <t xml:space="preserve">Reducir la tasa de mortalidad perinatal por debajo de 18 por mil nacidos vivos </t>
  </si>
  <si>
    <t>28.800 niños y niñas de jardines infantiles. 1.074 docentes. 7.274 madres, padres y acudientes [Ultima cifra disponible en la Entidad con corte a diciembre 31 de 2009].</t>
  </si>
  <si>
    <t>A través de la capacitación en el componente clínico, se beneficiaron 377 médicos, 317 enfermeras,  94 nutricionistas, 531 auxiliares de enfermería y 671  de otras profesiones . A través  de la capacitación se logra que la totalidad de los profesionales implementen las estrategias de Atención Integral de Enfermedades Prevalentes de la Infancia [AIEPI] y la de Instituciones Amigas de la Mujer y de la Infancias [IAMI] en cada una de las instituciones, en las cuales se beneficiaron de manera directa 149.865 niños y niñas menores de cinco años atendidos en 2009 [Ultima cifra disponible en el sistema de información de la Entidad, con fecha de corte a diciembre 31 de 2009]. Se cubrieron el 100% de los puntos de atención de la red adscrita del primer nivel de atención. En total se reportan  242 médicos y 191 enfermeras que aplican la estrategia y 119 IPS intervenidas. Como producto de las atenciones realizadas en la red pública distrital adscrita en 2009, se beneficiaron de manera directa 149.865 niños y niñas menores de cinco años atendidos en 2009 [Ultima cifra disponible en el sistema de información de la Entidad, con fecha de corte a diciembre 31 de 2009]. Se cubrieron el 100% de las ESE de primer nivel con todos sus puntos de atención.  Se beneficiaron 149.865 niños y niñas menores de cinco años atendidos en 2009 [Ultima cifra disponible en el sistema de información de la Entidad, con fecha de corte a diciembre 31 de 2009].</t>
  </si>
  <si>
    <t>De manera indirecta se beneficiaron 119.208 menores de un año de Bogotá D.C.  De manera directa se beneficiaron 230.000 personas, entre niños, niñas, recién nacidos, familias gestantes y cuidadores.[Última cifra  disponible en el Sistema de información de la entidad, con corte a 31 de diciembre de 2009].</t>
  </si>
</sst>
</file>

<file path=xl/styles.xml><?xml version="1.0" encoding="utf-8"?>
<styleSheet xmlns="http://schemas.openxmlformats.org/spreadsheetml/2006/main">
  <numFmts count="6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numFmt numFmtId="181" formatCode="#,###"/>
    <numFmt numFmtId="182" formatCode="_ * #,##0_ ;_ * \-#,##0_ ;_ * &quot;-&quot;??_ ;_ @_ "/>
    <numFmt numFmtId="183" formatCode="0.0%"/>
    <numFmt numFmtId="184" formatCode="_(&quot;$&quot;* #,##0.00_);_(&quot;$&quot;* \(#,##0.00\);_(&quot;$&quot;* &quot;-&quot;??_);_(@_)"/>
    <numFmt numFmtId="185" formatCode="_(&quot;$&quot;* #,##0_);_(&quot;$&quot;* \(#,##0\);_(&quot;$&quot;* &quot;-&quot;_);_(@_)"/>
    <numFmt numFmtId="186" formatCode="[$$-240A]\ #,##0"/>
    <numFmt numFmtId="187" formatCode="#,##0_ ;[Red]\-#,##0\ "/>
    <numFmt numFmtId="188" formatCode="&quot;$&quot;\ #,##0.00"/>
    <numFmt numFmtId="189" formatCode="&quot;$&quot;\ #,##0"/>
    <numFmt numFmtId="190" formatCode="#,##0.0"/>
    <numFmt numFmtId="191" formatCode="_-* #,##0\ _€_-;\-* #,##0\ _€_-;_-* &quot;-&quot;??\ _€_-;_-@_-"/>
    <numFmt numFmtId="192" formatCode="_-* #,##0.00\ _€_-;\-* #,##0.00\ _€_-;_-* \-??\ _€_-;_-@_-"/>
    <numFmt numFmtId="193" formatCode="_-* #,##0\ _€_-;\-* #,##0\ _€_-;_-* \-??\ _€_-;_-@_-"/>
    <numFmt numFmtId="194" formatCode="_ * #,##0_ ;_ * \-#,##0_ ;_ * \-??_ ;_ @_ "/>
    <numFmt numFmtId="195" formatCode="#,##0.0000"/>
    <numFmt numFmtId="196" formatCode="[$$-240A]\ #,##0.00"/>
    <numFmt numFmtId="197" formatCode="#,##0,"/>
    <numFmt numFmtId="198" formatCode="##,#0#"/>
    <numFmt numFmtId="199" formatCode="[$$-240A]\ #,##0.0"/>
    <numFmt numFmtId="200" formatCode="_-* #,##0_-;\-* #,##0_-;_-* &quot;-&quot;??_-;_-@_-"/>
    <numFmt numFmtId="201" formatCode="0.0000%"/>
    <numFmt numFmtId="202" formatCode="#,##0.000"/>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quot;$&quot;\ #,##0.0;[Red]&quot;$&quot;\ \-#,##0.0"/>
    <numFmt numFmtId="208" formatCode="&quot;$&quot;\ #,##0.0;&quot;$&quot;\ \-#,##0.0"/>
    <numFmt numFmtId="209" formatCode="0.0"/>
    <numFmt numFmtId="210" formatCode="0.000"/>
    <numFmt numFmtId="211" formatCode="#,##0.00000"/>
    <numFmt numFmtId="212" formatCode="0.00000%"/>
    <numFmt numFmtId="213" formatCode="_ &quot;$&quot;\ * #,##0_ ;_ &quot;$&quot;\ * \-#,##0_ ;_ &quot;$&quot;\ * &quot;-&quot;??_ ;_ @_ "/>
    <numFmt numFmtId="214" formatCode="#,##0.."/>
    <numFmt numFmtId="215" formatCode="_(* #,##0_);_(* \(#,##0\);_(* &quot;-&quot;??_);_(@_)"/>
  </numFmts>
  <fonts count="102">
    <font>
      <sz val="11"/>
      <color theme="1"/>
      <name val="Calibri"/>
      <family val="2"/>
    </font>
    <font>
      <sz val="11"/>
      <color indexed="8"/>
      <name val="Calibri"/>
      <family val="2"/>
    </font>
    <font>
      <sz val="10"/>
      <name val="Arial Narrow"/>
      <family val="2"/>
    </font>
    <font>
      <sz val="11"/>
      <name val="Arial Narrow"/>
      <family val="2"/>
    </font>
    <font>
      <sz val="12"/>
      <color indexed="8"/>
      <name val="Calibri"/>
      <family val="2"/>
    </font>
    <font>
      <sz val="8"/>
      <name val="Calibri"/>
      <family val="2"/>
    </font>
    <font>
      <b/>
      <sz val="14"/>
      <color indexed="12"/>
      <name val="Calibri"/>
      <family val="2"/>
    </font>
    <font>
      <b/>
      <sz val="13"/>
      <color indexed="12"/>
      <name val="Calibri"/>
      <family val="2"/>
    </font>
    <font>
      <b/>
      <sz val="7"/>
      <color indexed="12"/>
      <name val="Times New Roman"/>
      <family val="1"/>
    </font>
    <font>
      <b/>
      <sz val="12"/>
      <color indexed="12"/>
      <name val="Calibri"/>
      <family val="2"/>
    </font>
    <font>
      <sz val="12"/>
      <name val="Calibri"/>
      <family val="2"/>
    </font>
    <font>
      <b/>
      <sz val="12"/>
      <name val="Calibri"/>
      <family val="2"/>
    </font>
    <font>
      <b/>
      <sz val="14"/>
      <color indexed="17"/>
      <name val="Calibri"/>
      <family val="2"/>
    </font>
    <font>
      <b/>
      <sz val="12"/>
      <color indexed="17"/>
      <name val="Calibri"/>
      <family val="2"/>
    </font>
    <font>
      <b/>
      <sz val="12"/>
      <color indexed="8"/>
      <name val="Calibri"/>
      <family val="2"/>
    </font>
    <font>
      <b/>
      <sz val="13"/>
      <color indexed="17"/>
      <name val="Calibri"/>
      <family val="2"/>
    </font>
    <font>
      <b/>
      <sz val="13"/>
      <color indexed="8"/>
      <name val="Calibri"/>
      <family val="2"/>
    </font>
    <font>
      <sz val="13"/>
      <color indexed="8"/>
      <name val="Calibri"/>
      <family val="2"/>
    </font>
    <font>
      <b/>
      <sz val="15"/>
      <color indexed="17"/>
      <name val="Calibri"/>
      <family val="2"/>
    </font>
    <font>
      <u val="single"/>
      <sz val="10"/>
      <color indexed="12"/>
      <name val="Arial"/>
      <family val="2"/>
    </font>
    <font>
      <sz val="11"/>
      <color indexed="16"/>
      <name val="Arial"/>
      <family val="2"/>
    </font>
    <font>
      <i/>
      <sz val="12"/>
      <color indexed="8"/>
      <name val="Calibri"/>
      <family val="2"/>
    </font>
    <font>
      <sz val="12"/>
      <color indexed="12"/>
      <name val="Calibri"/>
      <family val="2"/>
    </font>
    <font>
      <sz val="10"/>
      <name val="Arial"/>
      <family val="0"/>
    </font>
    <font>
      <u val="single"/>
      <sz val="10"/>
      <color indexed="36"/>
      <name val="Arial"/>
      <family val="2"/>
    </font>
    <font>
      <sz val="8"/>
      <name val="Arial"/>
      <family val="2"/>
    </font>
    <font>
      <b/>
      <sz val="11"/>
      <name val="Trebuchet MS"/>
      <family val="2"/>
    </font>
    <font>
      <sz val="11"/>
      <name val="Trebuchet MS"/>
      <family val="2"/>
    </font>
    <font>
      <b/>
      <sz val="11"/>
      <color indexed="9"/>
      <name val="Trebuchet MS"/>
      <family val="2"/>
    </font>
    <font>
      <sz val="11"/>
      <color indexed="8"/>
      <name val="Trebuchet MS"/>
      <family val="2"/>
    </font>
    <font>
      <sz val="11"/>
      <name val="Tahoma"/>
      <family val="2"/>
    </font>
    <font>
      <b/>
      <sz val="8"/>
      <name val="Tahoma"/>
      <family val="0"/>
    </font>
    <font>
      <sz val="8"/>
      <name val="Tahoma"/>
      <family val="0"/>
    </font>
    <font>
      <sz val="9"/>
      <name val="Arial"/>
      <family val="2"/>
    </font>
    <font>
      <u val="single"/>
      <sz val="11"/>
      <color indexed="12"/>
      <name val="Arial"/>
      <family val="2"/>
    </font>
    <font>
      <b/>
      <sz val="16"/>
      <name val="Trebuchet MS"/>
      <family val="2"/>
    </font>
    <font>
      <sz val="12"/>
      <name val="Trebuchet MS"/>
      <family val="2"/>
    </font>
    <font>
      <b/>
      <sz val="13"/>
      <color indexed="10"/>
      <name val="Calibri"/>
      <family val="2"/>
    </font>
    <font>
      <b/>
      <sz val="12"/>
      <color indexed="10"/>
      <name val="Calibri"/>
      <family val="2"/>
    </font>
    <font>
      <b/>
      <sz val="15"/>
      <color indexed="10"/>
      <name val="Calibri"/>
      <family val="2"/>
    </font>
    <font>
      <sz val="10"/>
      <name val="Trebuchet MS"/>
      <family val="2"/>
    </font>
    <font>
      <sz val="10"/>
      <name val="Calibri"/>
      <family val="2"/>
    </font>
    <font>
      <b/>
      <sz val="10"/>
      <name val="Calibri"/>
      <family val="2"/>
    </font>
    <font>
      <sz val="10"/>
      <color indexed="8"/>
      <name val="Calibri"/>
      <family val="2"/>
    </font>
    <font>
      <sz val="11"/>
      <name val="Calibri"/>
      <family val="2"/>
    </font>
    <font>
      <sz val="9"/>
      <name val="Calibri"/>
      <family val="2"/>
    </font>
    <font>
      <sz val="10"/>
      <name val="Verdana"/>
      <family val="2"/>
    </font>
    <font>
      <sz val="8"/>
      <color indexed="10"/>
      <name val="Tahoma"/>
      <family val="2"/>
    </font>
    <font>
      <b/>
      <sz val="9"/>
      <name val="Tahoma"/>
      <family val="2"/>
    </font>
    <font>
      <sz val="9"/>
      <name val="Tahoma"/>
      <family val="2"/>
    </font>
    <font>
      <sz val="11"/>
      <color indexed="10"/>
      <name val="Trebuchet MS"/>
      <family val="2"/>
    </font>
    <font>
      <sz val="30"/>
      <color indexed="56"/>
      <name val="Cambria"/>
      <family val="1"/>
    </font>
    <font>
      <sz val="24"/>
      <color indexed="56"/>
      <name val="Cambria"/>
      <family val="1"/>
    </font>
    <font>
      <i/>
      <sz val="11"/>
      <color indexed="8"/>
      <name val="Calibri"/>
      <family val="2"/>
    </font>
    <font>
      <b/>
      <sz val="12"/>
      <color indexed="9"/>
      <name val="Trebuchet MS"/>
      <family val="2"/>
    </font>
    <font>
      <b/>
      <sz val="12"/>
      <color indexed="9"/>
      <name val="Arial Narrow"/>
      <family val="2"/>
    </font>
    <font>
      <b/>
      <sz val="14"/>
      <name val="Trebuchet MS"/>
      <family val="2"/>
    </font>
    <font>
      <i/>
      <sz val="11"/>
      <name val="Trebuchet MS"/>
      <family val="2"/>
    </font>
    <font>
      <sz val="7.7"/>
      <color indexed="8"/>
      <name val="Calibri"/>
      <family val="2"/>
    </font>
    <font>
      <i/>
      <sz val="10"/>
      <name val="Calibri"/>
      <family val="2"/>
    </font>
    <font>
      <sz val="12"/>
      <color indexed="10"/>
      <name val="Calibri"/>
      <family val="2"/>
    </font>
    <font>
      <sz val="10"/>
      <color indexed="10"/>
      <name val="Calibri"/>
      <family val="2"/>
    </font>
    <font>
      <b/>
      <sz val="9"/>
      <color indexed="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b/>
      <sz val="11"/>
      <color indexed="12"/>
      <name val="Calibri"/>
      <family val="0"/>
    </font>
    <font>
      <b/>
      <i/>
      <u val="single"/>
      <sz val="11"/>
      <color indexed="8"/>
      <name val="Calibri"/>
      <family val="0"/>
    </font>
    <font>
      <b/>
      <i/>
      <sz val="11"/>
      <color indexed="8"/>
      <name val="Calibri"/>
      <family val="0"/>
    </font>
    <font>
      <b/>
      <u val="single"/>
      <sz val="10"/>
      <color indexed="12"/>
      <name val="Arial"/>
      <family val="0"/>
    </font>
    <font>
      <b/>
      <sz val="10"/>
      <color indexed="8"/>
      <name val="Bodoni MT Black"/>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Calibri"/>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22"/>
        <bgColor indexed="64"/>
      </patternFill>
    </fill>
    <fill>
      <patternFill patternType="gray0625">
        <fgColor indexed="41"/>
        <bgColor indexed="31"/>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50"/>
        <bgColor indexed="64"/>
      </patternFill>
    </fill>
    <fill>
      <patternFill patternType="solid">
        <fgColor indexed="54"/>
        <bgColor indexed="64"/>
      </patternFill>
    </fill>
    <fill>
      <patternFill patternType="gray0625">
        <fgColor indexed="41"/>
        <bgColor indexed="52"/>
      </patternFill>
    </fill>
    <fill>
      <patternFill patternType="solid">
        <fgColor indexed="27"/>
        <bgColor indexed="64"/>
      </patternFill>
    </fill>
    <fill>
      <patternFill patternType="solid">
        <fgColor indexed="47"/>
        <bgColor indexed="64"/>
      </patternFill>
    </fill>
    <fill>
      <patternFill patternType="solid">
        <fgColor indexed="21"/>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medium"/>
      <top style="medium"/>
      <bottom style="medium"/>
    </border>
    <border>
      <left/>
      <right style="thin"/>
      <top style="medium"/>
      <bottom style="medium"/>
    </border>
    <border>
      <left style="thin"/>
      <right style="thin"/>
      <top/>
      <bottom style="thin"/>
    </border>
    <border>
      <left style="thin"/>
      <right style="thin"/>
      <top style="thin"/>
      <bottom style="thin"/>
    </border>
    <border>
      <left style="thin"/>
      <right/>
      <top/>
      <bottom/>
    </border>
    <border>
      <left style="medium"/>
      <right style="medium"/>
      <top style="medium"/>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color indexed="8"/>
      </right>
      <top style="medium">
        <color indexed="8"/>
      </top>
      <bottom style="medium">
        <color indexed="8"/>
      </bottom>
    </border>
    <border>
      <left>
        <color indexed="63"/>
      </left>
      <right style="thin"/>
      <top style="medium"/>
      <bottom>
        <color indexed="63"/>
      </bottom>
    </border>
    <border>
      <left style="medium"/>
      <right style="medium"/>
      <top style="medium"/>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top style="thin"/>
      <bottom/>
    </border>
    <border>
      <left/>
      <right style="thin"/>
      <top style="thin"/>
      <bottom/>
    </border>
    <border>
      <left style="thin"/>
      <right/>
      <top/>
      <bottom style="thin"/>
    </border>
    <border>
      <left style="thin"/>
      <right style="medium"/>
      <top style="thin"/>
      <bottom style="thin"/>
    </border>
    <border>
      <left style="thin">
        <color indexed="59"/>
      </left>
      <right style="thin">
        <color indexed="59"/>
      </right>
      <top style="thin">
        <color indexed="59"/>
      </top>
      <bottom style="thin">
        <color indexed="59"/>
      </bottom>
    </border>
    <border>
      <left style="thin">
        <color indexed="59"/>
      </left>
      <right style="thin">
        <color indexed="59"/>
      </right>
      <top>
        <color indexed="63"/>
      </top>
      <bottom style="thin">
        <color indexed="59"/>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thin"/>
      <right style="thin"/>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0"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19" borderId="0" applyNumberFormat="0" applyBorder="0" applyAlignment="0" applyProtection="0"/>
    <xf numFmtId="0" fontId="87" fillId="20" borderId="1" applyNumberFormat="0" applyAlignment="0" applyProtection="0"/>
    <xf numFmtId="0" fontId="88" fillId="21" borderId="2" applyNumberFormat="0" applyAlignment="0" applyProtection="0"/>
    <xf numFmtId="0" fontId="89" fillId="0" borderId="3" applyNumberFormat="0" applyFill="0" applyAlignment="0" applyProtection="0"/>
    <xf numFmtId="0" fontId="90" fillId="0" borderId="4" applyNumberFormat="0" applyFill="0" applyAlignment="0" applyProtection="0"/>
    <xf numFmtId="0" fontId="91" fillId="0" borderId="0" applyNumberFormat="0" applyFill="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5" fillId="26" borderId="0" applyNumberFormat="0" applyBorder="0" applyAlignment="0" applyProtection="0"/>
    <xf numFmtId="0" fontId="85" fillId="27" borderId="0" applyNumberFormat="0" applyBorder="0" applyAlignment="0" applyProtection="0"/>
    <xf numFmtId="0" fontId="92" fillId="28" borderId="1" applyNumberFormat="0" applyAlignment="0" applyProtection="0"/>
    <xf numFmtId="178" fontId="23" fillId="0" borderId="0" applyFont="0" applyFill="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93" fillId="29"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94" fillId="30"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1" fillId="31" borderId="5" applyNumberFormat="0" applyFont="0" applyAlignment="0" applyProtection="0"/>
    <xf numFmtId="9" fontId="1" fillId="0" borderId="0" applyFont="0" applyFill="0" applyBorder="0" applyAlignment="0" applyProtection="0"/>
    <xf numFmtId="9" fontId="23" fillId="0" borderId="0" applyFont="0" applyFill="0" applyBorder="0" applyAlignment="0" applyProtection="0"/>
    <xf numFmtId="0" fontId="95" fillId="20" borderId="6"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7" applyNumberFormat="0" applyFill="0" applyAlignment="0" applyProtection="0"/>
    <xf numFmtId="0" fontId="91" fillId="0" borderId="8" applyNumberFormat="0" applyFill="0" applyAlignment="0" applyProtection="0"/>
    <xf numFmtId="0" fontId="100" fillId="0" borderId="9" applyNumberFormat="0" applyFill="0" applyAlignment="0" applyProtection="0"/>
  </cellStyleXfs>
  <cellXfs count="461">
    <xf numFmtId="0" fontId="0" fillId="0" borderId="0" xfId="0" applyFont="1" applyAlignment="1">
      <alignment/>
    </xf>
    <xf numFmtId="0" fontId="2" fillId="0" borderId="0" xfId="0" applyFont="1" applyAlignment="1">
      <alignment/>
    </xf>
    <xf numFmtId="0" fontId="2" fillId="32" borderId="0" xfId="0" applyFont="1" applyFill="1" applyBorder="1" applyAlignment="1">
      <alignment/>
    </xf>
    <xf numFmtId="0" fontId="0" fillId="32" borderId="0" xfId="0" applyFill="1" applyBorder="1" applyAlignment="1">
      <alignment/>
    </xf>
    <xf numFmtId="0" fontId="2" fillId="0" borderId="0" xfId="0" applyFont="1" applyBorder="1" applyAlignment="1">
      <alignment/>
    </xf>
    <xf numFmtId="0" fontId="0" fillId="0" borderId="0" xfId="0" applyBorder="1" applyAlignment="1">
      <alignment/>
    </xf>
    <xf numFmtId="0" fontId="2" fillId="0" borderId="0" xfId="0" applyFont="1" applyAlignment="1">
      <alignment horizontal="center" vertical="center" wrapText="1"/>
    </xf>
    <xf numFmtId="0" fontId="6" fillId="0" borderId="0" xfId="0" applyFont="1" applyBorder="1" applyAlignment="1">
      <alignment horizontal="center" vertical="center"/>
    </xf>
    <xf numFmtId="0" fontId="0" fillId="0" borderId="0" xfId="0" applyAlignment="1">
      <alignment horizontal="center" vertical="center"/>
    </xf>
    <xf numFmtId="1" fontId="11" fillId="0" borderId="10"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0" fontId="12" fillId="0" borderId="0" xfId="0" applyFont="1" applyAlignment="1">
      <alignment horizontal="center"/>
    </xf>
    <xf numFmtId="0" fontId="13" fillId="0" borderId="0" xfId="0" applyFont="1" applyAlignment="1">
      <alignment horizontal="center"/>
    </xf>
    <xf numFmtId="0" fontId="7" fillId="0" borderId="0" xfId="0" applyFont="1" applyBorder="1" applyAlignment="1">
      <alignment vertical="center"/>
    </xf>
    <xf numFmtId="1" fontId="11" fillId="0" borderId="12" xfId="0" applyNumberFormat="1" applyFont="1" applyBorder="1" applyAlignment="1">
      <alignment horizontal="center" vertical="center" wrapText="1"/>
    </xf>
    <xf numFmtId="3" fontId="10" fillId="0" borderId="13" xfId="0" applyNumberFormat="1" applyFont="1" applyBorder="1" applyAlignment="1">
      <alignment horizontal="center" vertical="center" wrapText="1"/>
    </xf>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alignment/>
    </xf>
    <xf numFmtId="0" fontId="16" fillId="0" borderId="0" xfId="0" applyFont="1" applyAlignment="1">
      <alignment/>
    </xf>
    <xf numFmtId="0" fontId="20" fillId="0" borderId="0" xfId="47" applyFont="1" applyBorder="1" applyAlignment="1" applyProtection="1">
      <alignment/>
      <protection/>
    </xf>
    <xf numFmtId="0" fontId="0" fillId="0" borderId="0" xfId="0" applyFill="1" applyBorder="1" applyAlignment="1">
      <alignment/>
    </xf>
    <xf numFmtId="1" fontId="11" fillId="0" borderId="0" xfId="0" applyNumberFormat="1" applyFont="1" applyBorder="1" applyAlignment="1">
      <alignment horizontal="center" vertical="center" wrapText="1"/>
    </xf>
    <xf numFmtId="0" fontId="18" fillId="0" borderId="0" xfId="0" applyFont="1" applyAlignment="1">
      <alignment horizontal="center"/>
    </xf>
    <xf numFmtId="0" fontId="15" fillId="0" borderId="0" xfId="0" applyFont="1" applyAlignment="1">
      <alignment/>
    </xf>
    <xf numFmtId="0" fontId="4" fillId="0" borderId="0" xfId="0" applyFont="1" applyAlignment="1">
      <alignment vertical="center" wrapText="1"/>
    </xf>
    <xf numFmtId="3" fontId="27" fillId="0" borderId="14" xfId="59" applyNumberFormat="1" applyFont="1" applyFill="1" applyBorder="1" applyAlignment="1" applyProtection="1">
      <alignment vertical="center" wrapText="1"/>
      <protection locked="0"/>
    </xf>
    <xf numFmtId="3" fontId="27" fillId="0" borderId="14" xfId="59" applyNumberFormat="1" applyFont="1" applyFill="1" applyBorder="1" applyAlignment="1" applyProtection="1">
      <alignment horizontal="justify" vertical="center" wrapText="1"/>
      <protection locked="0"/>
    </xf>
    <xf numFmtId="3" fontId="27" fillId="0" borderId="14" xfId="59" applyNumberFormat="1" applyFont="1" applyFill="1" applyBorder="1" applyAlignment="1" applyProtection="1">
      <alignment horizontal="left" vertical="center" wrapText="1"/>
      <protection locked="0"/>
    </xf>
    <xf numFmtId="3" fontId="27" fillId="0" borderId="14" xfId="59" applyNumberFormat="1" applyFont="1" applyFill="1" applyBorder="1" applyAlignment="1" applyProtection="1">
      <alignment horizontal="right" vertical="center" wrapText="1"/>
      <protection locked="0"/>
    </xf>
    <xf numFmtId="3" fontId="27" fillId="0" borderId="14" xfId="59" applyNumberFormat="1" applyFont="1" applyFill="1" applyBorder="1" applyAlignment="1" applyProtection="1">
      <alignment horizontal="center" vertical="center" wrapText="1"/>
      <protection locked="0"/>
    </xf>
    <xf numFmtId="0" fontId="27" fillId="0" borderId="14" xfId="59" applyFont="1" applyFill="1" applyBorder="1" applyAlignment="1" applyProtection="1">
      <alignment horizontal="justify" vertical="center" wrapText="1"/>
      <protection locked="0"/>
    </xf>
    <xf numFmtId="1"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9" fillId="0" borderId="0" xfId="0" applyFont="1" applyBorder="1" applyAlignment="1">
      <alignment vertical="center"/>
    </xf>
    <xf numFmtId="3" fontId="33" fillId="0" borderId="15" xfId="0" applyNumberFormat="1" applyFont="1" applyFill="1" applyBorder="1" applyAlignment="1">
      <alignment/>
    </xf>
    <xf numFmtId="3" fontId="10" fillId="0" borderId="14" xfId="0" applyNumberFormat="1" applyFont="1" applyFill="1" applyBorder="1" applyAlignment="1">
      <alignment horizontal="center" vertical="center" wrapText="1"/>
    </xf>
    <xf numFmtId="3" fontId="33" fillId="32" borderId="15" xfId="0" applyNumberFormat="1" applyFont="1" applyFill="1" applyBorder="1" applyAlignment="1">
      <alignment/>
    </xf>
    <xf numFmtId="3" fontId="0" fillId="0" borderId="0" xfId="0" applyNumberFormat="1" applyAlignment="1">
      <alignment/>
    </xf>
    <xf numFmtId="3" fontId="0" fillId="32" borderId="0" xfId="0" applyNumberFormat="1" applyFill="1" applyAlignment="1">
      <alignment/>
    </xf>
    <xf numFmtId="0" fontId="9" fillId="0" borderId="0" xfId="0" applyFont="1" applyBorder="1" applyAlignment="1">
      <alignment horizontal="center" vertical="center"/>
    </xf>
    <xf numFmtId="0" fontId="27" fillId="0" borderId="14" xfId="59" applyFont="1" applyFill="1" applyBorder="1" applyAlignment="1" applyProtection="1">
      <alignment horizontal="left" vertical="center" wrapText="1"/>
      <protection locked="0"/>
    </xf>
    <xf numFmtId="0" fontId="27" fillId="0" borderId="14" xfId="59" applyFont="1" applyFill="1" applyBorder="1" applyAlignment="1" applyProtection="1">
      <alignment horizontal="right" vertical="center" wrapText="1"/>
      <protection locked="0"/>
    </xf>
    <xf numFmtId="0" fontId="27" fillId="0" borderId="14" xfId="58" applyFont="1" applyFill="1" applyBorder="1" applyAlignment="1" applyProtection="1">
      <alignment horizontal="left" vertical="center" wrapText="1"/>
      <protection locked="0"/>
    </xf>
    <xf numFmtId="3" fontId="29" fillId="0" borderId="14" xfId="59" applyNumberFormat="1" applyFont="1" applyFill="1" applyBorder="1" applyAlignment="1" applyProtection="1">
      <alignment horizontal="right" vertical="center" wrapText="1"/>
      <protection locked="0"/>
    </xf>
    <xf numFmtId="3" fontId="27" fillId="0" borderId="14" xfId="59" applyNumberFormat="1" applyFont="1" applyFill="1" applyBorder="1" applyAlignment="1" applyProtection="1">
      <alignment horizontal="justify" vertical="top" wrapText="1"/>
      <protection locked="0"/>
    </xf>
    <xf numFmtId="3" fontId="27" fillId="0" borderId="14" xfId="59" applyNumberFormat="1" applyFont="1" applyFill="1" applyBorder="1" applyAlignment="1" applyProtection="1">
      <alignment horizontal="right" vertical="top" wrapText="1"/>
      <protection locked="0"/>
    </xf>
    <xf numFmtId="3" fontId="27" fillId="0" borderId="14" xfId="59" applyNumberFormat="1" applyFont="1" applyFill="1" applyBorder="1" applyAlignment="1" applyProtection="1">
      <alignment vertical="top" wrapText="1"/>
      <protection locked="0"/>
    </xf>
    <xf numFmtId="3" fontId="29" fillId="0" borderId="14" xfId="59" applyNumberFormat="1" applyFont="1" applyFill="1" applyBorder="1" applyAlignment="1" applyProtection="1">
      <alignment horizontal="center" vertical="center" wrapText="1"/>
      <protection locked="0"/>
    </xf>
    <xf numFmtId="3" fontId="29" fillId="0" borderId="14" xfId="59" applyNumberFormat="1" applyFont="1" applyFill="1" applyBorder="1" applyAlignment="1" applyProtection="1">
      <alignment vertical="center" wrapText="1"/>
      <protection locked="0"/>
    </xf>
    <xf numFmtId="3" fontId="27" fillId="0" borderId="14" xfId="59" applyNumberFormat="1" applyFont="1" applyFill="1" applyBorder="1" applyAlignment="1" applyProtection="1">
      <alignment horizontal="left" vertical="top"/>
      <protection locked="0"/>
    </xf>
    <xf numFmtId="3" fontId="27" fillId="0" borderId="14" xfId="59" applyNumberFormat="1" applyFont="1" applyFill="1" applyBorder="1" applyAlignment="1" applyProtection="1">
      <alignment horizontal="right" vertical="top"/>
      <protection locked="0"/>
    </xf>
    <xf numFmtId="3" fontId="29" fillId="0" borderId="14" xfId="59" applyNumberFormat="1" applyFont="1" applyFill="1" applyBorder="1" applyAlignment="1" applyProtection="1">
      <alignment horizontal="right" vertical="top"/>
      <protection locked="0"/>
    </xf>
    <xf numFmtId="180" fontId="27" fillId="0" borderId="14" xfId="59" applyNumberFormat="1" applyFont="1" applyFill="1" applyBorder="1" applyAlignment="1" applyProtection="1">
      <alignment horizontal="justify" vertical="center" wrapText="1"/>
      <protection locked="0"/>
    </xf>
    <xf numFmtId="3" fontId="27" fillId="0" borderId="0" xfId="59" applyNumberFormat="1" applyFont="1" applyAlignment="1" applyProtection="1">
      <alignment vertical="top"/>
      <protection/>
    </xf>
    <xf numFmtId="3" fontId="36" fillId="0" borderId="0" xfId="59" applyNumberFormat="1" applyFont="1" applyAlignment="1" applyProtection="1">
      <alignment vertical="top"/>
      <protection/>
    </xf>
    <xf numFmtId="3" fontId="27" fillId="0" borderId="0" xfId="59" applyNumberFormat="1" applyFont="1" applyAlignment="1" applyProtection="1">
      <alignment horizontal="right" vertical="top"/>
      <protection/>
    </xf>
    <xf numFmtId="3" fontId="34" fillId="0" borderId="0" xfId="47" applyNumberFormat="1" applyFont="1" applyAlignment="1" applyProtection="1">
      <alignment vertical="top"/>
      <protection/>
    </xf>
    <xf numFmtId="3" fontId="28" fillId="33" borderId="14" xfId="59" applyNumberFormat="1" applyFont="1" applyFill="1" applyBorder="1" applyAlignment="1" applyProtection="1">
      <alignment horizontal="center" vertical="center"/>
      <protection/>
    </xf>
    <xf numFmtId="3" fontId="26" fillId="34" borderId="14" xfId="59" applyNumberFormat="1" applyFont="1" applyFill="1" applyBorder="1" applyAlignment="1" applyProtection="1">
      <alignment horizontal="center" vertical="center" wrapText="1"/>
      <protection/>
    </xf>
    <xf numFmtId="3" fontId="26" fillId="34" borderId="14" xfId="59" applyNumberFormat="1" applyFont="1" applyFill="1" applyBorder="1" applyAlignment="1" applyProtection="1">
      <alignment horizontal="right" vertical="center" wrapText="1"/>
      <protection/>
    </xf>
    <xf numFmtId="3" fontId="26" fillId="34" borderId="16" xfId="0" applyNumberFormat="1" applyFont="1" applyFill="1" applyBorder="1" applyAlignment="1" applyProtection="1">
      <alignment horizontal="center" vertical="center" wrapText="1"/>
      <protection/>
    </xf>
    <xf numFmtId="3" fontId="27" fillId="0" borderId="0" xfId="59" applyNumberFormat="1" applyFont="1" applyAlignment="1" applyProtection="1">
      <alignment vertical="top" wrapText="1"/>
      <protection/>
    </xf>
    <xf numFmtId="3" fontId="26" fillId="34" borderId="17" xfId="59" applyNumberFormat="1" applyFont="1" applyFill="1" applyBorder="1" applyAlignment="1" applyProtection="1">
      <alignment horizontal="center" vertical="center" wrapText="1"/>
      <protection/>
    </xf>
    <xf numFmtId="3" fontId="26" fillId="34" borderId="17" xfId="59" applyNumberFormat="1" applyFont="1" applyFill="1" applyBorder="1" applyAlignment="1" applyProtection="1">
      <alignment horizontal="right" vertical="center" wrapText="1"/>
      <protection/>
    </xf>
    <xf numFmtId="3" fontId="26" fillId="34" borderId="0" xfId="0" applyNumberFormat="1" applyFont="1" applyFill="1" applyBorder="1" applyAlignment="1" applyProtection="1">
      <alignment horizontal="center" vertical="center" wrapText="1"/>
      <protection/>
    </xf>
    <xf numFmtId="3" fontId="27" fillId="0" borderId="0" xfId="59" applyNumberFormat="1" applyFont="1" applyBorder="1" applyAlignment="1" applyProtection="1">
      <alignment vertical="top" wrapText="1"/>
      <protection/>
    </xf>
    <xf numFmtId="3" fontId="26" fillId="35" borderId="18" xfId="59" applyNumberFormat="1" applyFont="1" applyFill="1" applyBorder="1" applyAlignment="1" applyProtection="1">
      <alignment vertical="center"/>
      <protection/>
    </xf>
    <xf numFmtId="3" fontId="26" fillId="35" borderId="17" xfId="59" applyNumberFormat="1" applyFont="1" applyFill="1" applyBorder="1" applyAlignment="1" applyProtection="1">
      <alignment vertical="center"/>
      <protection/>
    </xf>
    <xf numFmtId="3" fontId="26" fillId="34" borderId="18" xfId="59" applyNumberFormat="1" applyFont="1" applyFill="1" applyBorder="1" applyAlignment="1" applyProtection="1">
      <alignment vertical="center"/>
      <protection/>
    </xf>
    <xf numFmtId="3" fontId="26" fillId="34" borderId="17" xfId="59" applyNumberFormat="1" applyFont="1" applyFill="1" applyBorder="1" applyAlignment="1" applyProtection="1">
      <alignment vertical="center"/>
      <protection/>
    </xf>
    <xf numFmtId="3" fontId="26" fillId="34" borderId="17" xfId="59" applyNumberFormat="1" applyFont="1" applyFill="1" applyBorder="1" applyAlignment="1" applyProtection="1">
      <alignment vertical="center" wrapText="1"/>
      <protection/>
    </xf>
    <xf numFmtId="3" fontId="26" fillId="34" borderId="19" xfId="59" applyNumberFormat="1" applyFont="1" applyFill="1" applyBorder="1" applyAlignment="1" applyProtection="1">
      <alignment vertical="center" wrapText="1"/>
      <protection/>
    </xf>
    <xf numFmtId="0" fontId="27" fillId="0" borderId="14" xfId="59" applyFont="1" applyFill="1" applyBorder="1" applyAlignment="1" applyProtection="1">
      <alignment horizontal="left" vertical="center" wrapText="1"/>
      <protection/>
    </xf>
    <xf numFmtId="0" fontId="27" fillId="0" borderId="14" xfId="59" applyFont="1" applyFill="1" applyBorder="1" applyAlignment="1" applyProtection="1">
      <alignment vertical="center" wrapText="1"/>
      <protection/>
    </xf>
    <xf numFmtId="3" fontId="27" fillId="0" borderId="14" xfId="59" applyNumberFormat="1" applyFont="1" applyFill="1" applyBorder="1" applyAlignment="1" applyProtection="1">
      <alignment horizontal="right" vertical="center" wrapText="1"/>
      <protection/>
    </xf>
    <xf numFmtId="3" fontId="27" fillId="0" borderId="14" xfId="59" applyNumberFormat="1" applyFont="1" applyFill="1" applyBorder="1" applyAlignment="1" applyProtection="1">
      <alignment vertical="center" wrapText="1"/>
      <protection/>
    </xf>
    <xf numFmtId="9" fontId="27" fillId="0" borderId="14" xfId="61" applyFont="1" applyFill="1" applyBorder="1" applyAlignment="1" applyProtection="1">
      <alignment horizontal="right" vertical="center" wrapText="1"/>
      <protection/>
    </xf>
    <xf numFmtId="3" fontId="27" fillId="36" borderId="0" xfId="59" applyNumberFormat="1" applyFont="1" applyFill="1" applyBorder="1" applyAlignment="1" applyProtection="1">
      <alignment vertical="top"/>
      <protection/>
    </xf>
    <xf numFmtId="3" fontId="27" fillId="0" borderId="14" xfId="59" applyNumberFormat="1" applyFont="1" applyFill="1" applyBorder="1" applyAlignment="1" applyProtection="1">
      <alignment horizontal="left" vertical="center" wrapText="1"/>
      <protection/>
    </xf>
    <xf numFmtId="3" fontId="26" fillId="34" borderId="14" xfId="59" applyNumberFormat="1" applyFont="1" applyFill="1" applyBorder="1" applyAlignment="1" applyProtection="1">
      <alignment vertical="center" wrapText="1"/>
      <protection/>
    </xf>
    <xf numFmtId="3" fontId="26" fillId="34" borderId="14" xfId="59" applyNumberFormat="1" applyFont="1" applyFill="1" applyBorder="1" applyAlignment="1" applyProtection="1">
      <alignment horizontal="right" vertical="center"/>
      <protection/>
    </xf>
    <xf numFmtId="3" fontId="26" fillId="34" borderId="14" xfId="59" applyNumberFormat="1" applyFont="1" applyFill="1" applyBorder="1" applyAlignment="1" applyProtection="1">
      <alignment vertical="center"/>
      <protection/>
    </xf>
    <xf numFmtId="3" fontId="27" fillId="34" borderId="0" xfId="59" applyNumberFormat="1" applyFont="1" applyFill="1" applyAlignment="1" applyProtection="1">
      <alignment vertical="top"/>
      <protection/>
    </xf>
    <xf numFmtId="3" fontId="27" fillId="0" borderId="14" xfId="59" applyNumberFormat="1" applyFont="1" applyFill="1" applyBorder="1" applyAlignment="1" applyProtection="1">
      <alignment horizontal="center" vertical="center" wrapText="1"/>
      <protection/>
    </xf>
    <xf numFmtId="3" fontId="27" fillId="36" borderId="0" xfId="59" applyNumberFormat="1" applyFont="1" applyFill="1" applyAlignment="1" applyProtection="1">
      <alignment vertical="top"/>
      <protection/>
    </xf>
    <xf numFmtId="3" fontId="29" fillId="0" borderId="14" xfId="59" applyNumberFormat="1" applyFont="1" applyFill="1" applyBorder="1" applyAlignment="1" applyProtection="1">
      <alignment horizontal="right" vertical="center" wrapText="1"/>
      <protection/>
    </xf>
    <xf numFmtId="3" fontId="29" fillId="0" borderId="14" xfId="59" applyNumberFormat="1" applyFont="1" applyFill="1" applyBorder="1" applyAlignment="1" applyProtection="1">
      <alignment horizontal="justify" vertical="center" wrapText="1"/>
      <protection/>
    </xf>
    <xf numFmtId="0" fontId="27" fillId="0" borderId="14" xfId="59" applyFont="1" applyFill="1" applyBorder="1" applyAlignment="1" applyProtection="1">
      <alignment horizontal="center" vertical="center" wrapText="1"/>
      <protection/>
    </xf>
    <xf numFmtId="0" fontId="27" fillId="0" borderId="14" xfId="59" applyFont="1" applyFill="1" applyBorder="1" applyAlignment="1" applyProtection="1">
      <alignment horizontal="justify" vertical="center" wrapText="1"/>
      <protection/>
    </xf>
    <xf numFmtId="3" fontId="27" fillId="0" borderId="14" xfId="59" applyNumberFormat="1" applyFont="1" applyFill="1" applyBorder="1" applyAlignment="1" applyProtection="1">
      <alignment horizontal="right" vertical="center"/>
      <protection/>
    </xf>
    <xf numFmtId="180" fontId="27" fillId="0" borderId="14" xfId="59" applyNumberFormat="1" applyFont="1" applyFill="1" applyBorder="1" applyAlignment="1" applyProtection="1">
      <alignment vertical="center" wrapText="1"/>
      <protection/>
    </xf>
    <xf numFmtId="3" fontId="27" fillId="0" borderId="14" xfId="59" applyNumberFormat="1" applyFont="1" applyFill="1" applyBorder="1" applyAlignment="1" applyProtection="1">
      <alignment horizontal="justify" vertical="top" wrapText="1"/>
      <protection/>
    </xf>
    <xf numFmtId="3" fontId="27" fillId="0" borderId="14" xfId="59" applyNumberFormat="1" applyFont="1" applyFill="1" applyBorder="1" applyAlignment="1" applyProtection="1">
      <alignment horizontal="right" vertical="top" wrapText="1"/>
      <protection/>
    </xf>
    <xf numFmtId="3" fontId="27" fillId="37" borderId="0" xfId="59" applyNumberFormat="1" applyFont="1" applyFill="1" applyAlignment="1" applyProtection="1">
      <alignment vertical="top"/>
      <protection/>
    </xf>
    <xf numFmtId="3" fontId="27" fillId="0" borderId="14" xfId="59" applyNumberFormat="1" applyFont="1" applyFill="1" applyBorder="1" applyAlignment="1" applyProtection="1">
      <alignment vertical="top" wrapText="1"/>
      <protection/>
    </xf>
    <xf numFmtId="0" fontId="27" fillId="0" borderId="14" xfId="59" applyFont="1" applyFill="1" applyBorder="1" applyAlignment="1" applyProtection="1">
      <alignment horizontal="right" vertical="center" wrapText="1"/>
      <protection/>
    </xf>
    <xf numFmtId="3" fontId="29" fillId="0" borderId="14" xfId="59" applyNumberFormat="1" applyFont="1" applyFill="1" applyBorder="1" applyAlignment="1" applyProtection="1">
      <alignment horizontal="right" vertical="center"/>
      <protection/>
    </xf>
    <xf numFmtId="3" fontId="29" fillId="0" borderId="14" xfId="59" applyNumberFormat="1" applyFont="1" applyFill="1" applyBorder="1" applyAlignment="1" applyProtection="1">
      <alignment horizontal="center" vertical="center" wrapText="1"/>
      <protection/>
    </xf>
    <xf numFmtId="3" fontId="29" fillId="0" borderId="14" xfId="59" applyNumberFormat="1" applyFont="1" applyFill="1" applyBorder="1" applyAlignment="1" applyProtection="1">
      <alignment vertical="center" wrapText="1"/>
      <protection/>
    </xf>
    <xf numFmtId="0" fontId="27" fillId="0" borderId="14" xfId="58" applyFont="1" applyFill="1" applyBorder="1" applyAlignment="1" applyProtection="1">
      <alignment vertical="center" wrapText="1"/>
      <protection/>
    </xf>
    <xf numFmtId="3" fontId="27" fillId="0" borderId="14" xfId="58" applyNumberFormat="1" applyFont="1" applyFill="1" applyBorder="1" applyAlignment="1" applyProtection="1">
      <alignment horizontal="right" vertical="center" wrapText="1"/>
      <protection/>
    </xf>
    <xf numFmtId="0" fontId="27" fillId="0" borderId="14" xfId="58" applyFont="1" applyFill="1" applyBorder="1" applyAlignment="1" applyProtection="1">
      <alignment horizontal="left" vertical="center" wrapText="1"/>
      <protection/>
    </xf>
    <xf numFmtId="3" fontId="27" fillId="0" borderId="14" xfId="59" applyNumberFormat="1" applyFont="1" applyFill="1" applyBorder="1" applyAlignment="1" applyProtection="1">
      <alignment horizontal="justify" vertical="center" wrapText="1"/>
      <protection/>
    </xf>
    <xf numFmtId="3" fontId="27" fillId="0" borderId="14" xfId="59" applyNumberFormat="1" applyFont="1" applyFill="1" applyBorder="1" applyAlignment="1" applyProtection="1">
      <alignment horizontal="left" vertical="top"/>
      <protection/>
    </xf>
    <xf numFmtId="3" fontId="27" fillId="0" borderId="14" xfId="59" applyNumberFormat="1" applyFont="1" applyFill="1" applyBorder="1" applyAlignment="1" applyProtection="1">
      <alignment horizontal="right" vertical="top"/>
      <protection/>
    </xf>
    <xf numFmtId="3" fontId="27" fillId="36" borderId="0" xfId="59" applyNumberFormat="1" applyFont="1" applyFill="1" applyBorder="1" applyAlignment="1" applyProtection="1">
      <alignment horizontal="left" vertical="top"/>
      <protection/>
    </xf>
    <xf numFmtId="3" fontId="29" fillId="0" borderId="14" xfId="59" applyNumberFormat="1" applyFont="1" applyFill="1" applyBorder="1" applyAlignment="1" applyProtection="1">
      <alignment vertical="top"/>
      <protection/>
    </xf>
    <xf numFmtId="3" fontId="29" fillId="0" borderId="14" xfId="59" applyNumberFormat="1" applyFont="1" applyFill="1" applyBorder="1" applyAlignment="1" applyProtection="1">
      <alignment horizontal="right" vertical="top"/>
      <protection/>
    </xf>
    <xf numFmtId="180" fontId="27" fillId="0" borderId="14" xfId="59" applyNumberFormat="1" applyFont="1" applyFill="1" applyBorder="1" applyAlignment="1" applyProtection="1">
      <alignment horizontal="justify" vertical="center" wrapText="1"/>
      <protection/>
    </xf>
    <xf numFmtId="3" fontId="27" fillId="0" borderId="0" xfId="59" applyNumberFormat="1" applyFont="1" applyBorder="1" applyAlignment="1" applyProtection="1">
      <alignment vertical="top"/>
      <protection/>
    </xf>
    <xf numFmtId="0" fontId="27" fillId="0" borderId="14" xfId="59" applyFont="1" applyFill="1" applyBorder="1" applyAlignment="1" applyProtection="1">
      <alignment vertical="top" wrapText="1"/>
      <protection/>
    </xf>
    <xf numFmtId="0" fontId="27" fillId="0" borderId="14" xfId="58" applyFont="1" applyFill="1" applyBorder="1" applyAlignment="1" applyProtection="1">
      <alignment vertical="center" wrapText="1" shrinkToFit="1"/>
      <protection/>
    </xf>
    <xf numFmtId="3" fontId="26" fillId="35" borderId="17" xfId="59" applyNumberFormat="1" applyFont="1" applyFill="1" applyBorder="1" applyAlignment="1" applyProtection="1">
      <alignment vertical="center" wrapText="1"/>
      <protection/>
    </xf>
    <xf numFmtId="3" fontId="26" fillId="34" borderId="18" xfId="59" applyNumberFormat="1" applyFont="1" applyFill="1" applyBorder="1" applyAlignment="1" applyProtection="1">
      <alignment vertical="center" wrapText="1"/>
      <protection/>
    </xf>
    <xf numFmtId="3" fontId="27" fillId="36" borderId="0" xfId="59" applyNumberFormat="1" applyFont="1" applyFill="1" applyAlignment="1" applyProtection="1">
      <alignment vertical="center"/>
      <protection/>
    </xf>
    <xf numFmtId="1" fontId="27" fillId="0" borderId="14" xfId="59" applyNumberFormat="1" applyFont="1" applyFill="1" applyBorder="1" applyAlignment="1" applyProtection="1">
      <alignment horizontal="left" vertical="center" wrapText="1"/>
      <protection/>
    </xf>
    <xf numFmtId="3" fontId="27" fillId="0" borderId="0" xfId="59" applyNumberFormat="1" applyFont="1" applyFill="1" applyAlignment="1" applyProtection="1">
      <alignment horizontal="right" vertical="center"/>
      <protection/>
    </xf>
    <xf numFmtId="3" fontId="26" fillId="0" borderId="14" xfId="56" applyNumberFormat="1" applyFont="1" applyFill="1" applyBorder="1" applyAlignment="1" applyProtection="1">
      <alignment horizontal="right" vertical="center" wrapText="1"/>
      <protection/>
    </xf>
    <xf numFmtId="3" fontId="26" fillId="0" borderId="14" xfId="59" applyNumberFormat="1" applyFont="1" applyFill="1" applyBorder="1" applyAlignment="1" applyProtection="1">
      <alignment horizontal="right" vertical="center" wrapText="1"/>
      <protection/>
    </xf>
    <xf numFmtId="1" fontId="27" fillId="0" borderId="0" xfId="61" applyNumberFormat="1" applyFont="1" applyFill="1" applyAlignment="1" applyProtection="1">
      <alignment horizontal="right" vertical="center"/>
      <protection/>
    </xf>
    <xf numFmtId="3" fontId="27" fillId="32" borderId="0" xfId="59" applyNumberFormat="1" applyFont="1" applyFill="1" applyAlignment="1" applyProtection="1">
      <alignment vertical="center"/>
      <protection/>
    </xf>
    <xf numFmtId="0" fontId="27" fillId="0" borderId="14" xfId="56" applyFont="1" applyFill="1" applyBorder="1" applyAlignment="1" applyProtection="1">
      <alignment horizontal="justify" vertical="center" wrapText="1"/>
      <protection/>
    </xf>
    <xf numFmtId="3" fontId="27" fillId="0" borderId="0" xfId="59" applyNumberFormat="1" applyFont="1" applyFill="1" applyAlignment="1" applyProtection="1">
      <alignment vertical="center"/>
      <protection/>
    </xf>
    <xf numFmtId="3" fontId="26" fillId="38" borderId="18" xfId="59" applyNumberFormat="1" applyFont="1" applyFill="1" applyBorder="1" applyAlignment="1" applyProtection="1">
      <alignment vertical="center"/>
      <protection/>
    </xf>
    <xf numFmtId="3" fontId="26" fillId="38" borderId="17" xfId="59" applyNumberFormat="1" applyFont="1" applyFill="1" applyBorder="1" applyAlignment="1" applyProtection="1">
      <alignment vertical="center" wrapText="1"/>
      <protection/>
    </xf>
    <xf numFmtId="3" fontId="26" fillId="38" borderId="17" xfId="59" applyNumberFormat="1" applyFont="1" applyFill="1" applyBorder="1" applyAlignment="1" applyProtection="1">
      <alignment horizontal="right" vertical="center" wrapText="1"/>
      <protection/>
    </xf>
    <xf numFmtId="3" fontId="26" fillId="39" borderId="14" xfId="59" applyNumberFormat="1" applyFont="1" applyFill="1" applyBorder="1" applyAlignment="1" applyProtection="1">
      <alignment vertical="center" wrapText="1"/>
      <protection/>
    </xf>
    <xf numFmtId="3" fontId="26" fillId="39" borderId="14" xfId="59" applyNumberFormat="1" applyFont="1" applyFill="1" applyBorder="1" applyAlignment="1" applyProtection="1">
      <alignment horizontal="right" vertical="center" wrapText="1"/>
      <protection/>
    </xf>
    <xf numFmtId="3" fontId="26" fillId="39" borderId="18" xfId="59" applyNumberFormat="1" applyFont="1" applyFill="1" applyBorder="1" applyAlignment="1" applyProtection="1">
      <alignment vertical="center"/>
      <protection/>
    </xf>
    <xf numFmtId="3" fontId="26" fillId="39" borderId="17" xfId="59" applyNumberFormat="1" applyFont="1" applyFill="1" applyBorder="1" applyAlignment="1" applyProtection="1">
      <alignment vertical="center"/>
      <protection/>
    </xf>
    <xf numFmtId="3" fontId="26" fillId="39" borderId="17" xfId="59" applyNumberFormat="1" applyFont="1" applyFill="1" applyBorder="1" applyAlignment="1" applyProtection="1">
      <alignment horizontal="right" vertical="center" wrapText="1"/>
      <protection/>
    </xf>
    <xf numFmtId="3" fontId="26" fillId="39" borderId="17" xfId="59" applyNumberFormat="1" applyFont="1" applyFill="1" applyBorder="1" applyAlignment="1" applyProtection="1">
      <alignment vertical="center" wrapText="1"/>
      <protection/>
    </xf>
    <xf numFmtId="3" fontId="27" fillId="0" borderId="14" xfId="59" applyNumberFormat="1" applyFont="1" applyFill="1" applyBorder="1" applyAlignment="1" applyProtection="1">
      <alignment horizontal="right" vertical="center" wrapText="1"/>
      <protection/>
    </xf>
    <xf numFmtId="3" fontId="26" fillId="0" borderId="14" xfId="59" applyNumberFormat="1" applyFont="1" applyFill="1" applyBorder="1" applyAlignment="1" applyProtection="1">
      <alignment horizontal="center" vertical="center" wrapText="1"/>
      <protection/>
    </xf>
    <xf numFmtId="3" fontId="27" fillId="0" borderId="14" xfId="59" applyNumberFormat="1" applyFont="1" applyFill="1" applyBorder="1" applyAlignment="1" applyProtection="1">
      <alignment horizontal="left" vertical="center" wrapText="1"/>
      <protection/>
    </xf>
    <xf numFmtId="3" fontId="27" fillId="36" borderId="0" xfId="59" applyNumberFormat="1" applyFont="1" applyFill="1" applyAlignment="1" applyProtection="1">
      <alignment vertical="top" wrapText="1"/>
      <protection/>
    </xf>
    <xf numFmtId="3" fontId="27" fillId="36" borderId="20" xfId="59" applyNumberFormat="1" applyFont="1" applyFill="1" applyBorder="1" applyAlignment="1" applyProtection="1">
      <alignment horizontal="right" vertical="center" wrapText="1"/>
      <protection/>
    </xf>
    <xf numFmtId="3" fontId="27" fillId="0" borderId="14" xfId="50" applyNumberFormat="1" applyFont="1" applyFill="1" applyBorder="1" applyAlignment="1" applyProtection="1">
      <alignment horizontal="right" vertical="center" wrapText="1"/>
      <protection/>
    </xf>
    <xf numFmtId="0" fontId="27" fillId="0" borderId="14" xfId="59" applyFont="1" applyFill="1" applyBorder="1" applyAlignment="1" applyProtection="1">
      <alignment horizontal="justify" vertical="center"/>
      <protection/>
    </xf>
    <xf numFmtId="1" fontId="27" fillId="0" borderId="14" xfId="59" applyNumberFormat="1" applyFont="1" applyFill="1" applyBorder="1" applyAlignment="1" applyProtection="1">
      <alignment horizontal="right" vertical="center"/>
      <protection/>
    </xf>
    <xf numFmtId="0" fontId="27" fillId="0" borderId="14" xfId="59" applyFont="1" applyFill="1" applyBorder="1" applyAlignment="1" applyProtection="1">
      <alignment horizontal="center" vertical="center"/>
      <protection/>
    </xf>
    <xf numFmtId="0" fontId="27" fillId="0" borderId="14" xfId="59" applyFont="1" applyFill="1" applyBorder="1" applyAlignment="1" applyProtection="1">
      <alignment horizontal="right" vertical="center"/>
      <protection/>
    </xf>
    <xf numFmtId="3" fontId="26" fillId="38" borderId="14" xfId="59" applyNumberFormat="1" applyFont="1" applyFill="1" applyBorder="1" applyAlignment="1" applyProtection="1">
      <alignment vertical="center" wrapText="1"/>
      <protection/>
    </xf>
    <xf numFmtId="3" fontId="26" fillId="38" borderId="14" xfId="59" applyNumberFormat="1" applyFont="1" applyFill="1" applyBorder="1" applyAlignment="1" applyProtection="1">
      <alignment horizontal="right" vertical="center" wrapText="1"/>
      <protection/>
    </xf>
    <xf numFmtId="3" fontId="27" fillId="0" borderId="0" xfId="59" applyNumberFormat="1" applyFont="1" applyAlignment="1" applyProtection="1">
      <alignment horizontal="left" vertical="top"/>
      <protection/>
    </xf>
    <xf numFmtId="3" fontId="27" fillId="40" borderId="0" xfId="59" applyNumberFormat="1" applyFont="1" applyFill="1" applyAlignment="1" applyProtection="1">
      <alignment vertical="top"/>
      <protection/>
    </xf>
    <xf numFmtId="3" fontId="27" fillId="40" borderId="0" xfId="59" applyNumberFormat="1" applyFont="1" applyFill="1" applyBorder="1" applyAlignment="1" applyProtection="1">
      <alignment vertical="top"/>
      <protection/>
    </xf>
    <xf numFmtId="0" fontId="27" fillId="36" borderId="0" xfId="59" applyFont="1" applyFill="1" applyProtection="1">
      <alignment/>
      <protection/>
    </xf>
    <xf numFmtId="166" fontId="27" fillId="0" borderId="14" xfId="59" applyNumberFormat="1" applyFont="1" applyFill="1" applyBorder="1" applyAlignment="1" applyProtection="1">
      <alignment horizontal="center" vertical="center" wrapText="1"/>
      <protection/>
    </xf>
    <xf numFmtId="166" fontId="27" fillId="0" borderId="14" xfId="59" applyNumberFormat="1" applyFont="1" applyFill="1" applyBorder="1" applyAlignment="1" applyProtection="1">
      <alignment horizontal="left" vertical="center" wrapText="1"/>
      <protection/>
    </xf>
    <xf numFmtId="1" fontId="27" fillId="0" borderId="14" xfId="59" applyNumberFormat="1" applyFont="1" applyFill="1" applyBorder="1" applyAlignment="1" applyProtection="1">
      <alignment horizontal="center" vertical="center" wrapText="1"/>
      <protection/>
    </xf>
    <xf numFmtId="0" fontId="27" fillId="36" borderId="0" xfId="59" applyFont="1" applyFill="1" applyBorder="1" applyProtection="1">
      <alignment/>
      <protection/>
    </xf>
    <xf numFmtId="0" fontId="26" fillId="36" borderId="0" xfId="59" applyFont="1" applyFill="1" applyAlignment="1" applyProtection="1">
      <alignment vertical="center"/>
      <protection/>
    </xf>
    <xf numFmtId="208" fontId="30" fillId="36" borderId="21" xfId="46" applyNumberFormat="1" applyFont="1" applyFill="1" applyBorder="1" applyAlignment="1" applyProtection="1">
      <alignment horizontal="center" vertical="center" wrapText="1"/>
      <protection/>
    </xf>
    <xf numFmtId="1" fontId="29" fillId="0" borderId="14" xfId="59" applyNumberFormat="1" applyFont="1" applyFill="1" applyBorder="1" applyAlignment="1" applyProtection="1">
      <alignment horizontal="left" vertical="center" wrapText="1"/>
      <protection/>
    </xf>
    <xf numFmtId="0" fontId="27" fillId="0" borderId="0" xfId="59" applyFont="1" applyProtection="1">
      <alignment/>
      <protection/>
    </xf>
    <xf numFmtId="3" fontId="27" fillId="0" borderId="14" xfId="53" applyNumberFormat="1" applyFont="1" applyFill="1" applyBorder="1" applyAlignment="1" applyProtection="1">
      <alignment horizontal="right" vertical="center" wrapText="1"/>
      <protection/>
    </xf>
    <xf numFmtId="3" fontId="27" fillId="0" borderId="0" xfId="59" applyNumberFormat="1" applyFont="1" applyAlignment="1" applyProtection="1">
      <alignment vertical="center" wrapText="1"/>
      <protection/>
    </xf>
    <xf numFmtId="3" fontId="27" fillId="0" borderId="0" xfId="59" applyNumberFormat="1" applyFont="1" applyAlignment="1" applyProtection="1">
      <alignment horizontal="right" vertical="center" wrapText="1"/>
      <protection/>
    </xf>
    <xf numFmtId="3" fontId="27" fillId="0" borderId="0" xfId="59" applyNumberFormat="1" applyFont="1" applyFill="1" applyAlignment="1" applyProtection="1">
      <alignment horizontal="right" vertical="top"/>
      <protection/>
    </xf>
    <xf numFmtId="3" fontId="27" fillId="0" borderId="0" xfId="59" applyNumberFormat="1" applyFont="1" applyFill="1" applyAlignment="1" applyProtection="1">
      <alignment vertical="top"/>
      <protection/>
    </xf>
    <xf numFmtId="0" fontId="37" fillId="0" borderId="0" xfId="0" applyFont="1" applyBorder="1" applyAlignment="1">
      <alignment horizontal="right" vertical="center"/>
    </xf>
    <xf numFmtId="0" fontId="11" fillId="0" borderId="22" xfId="0" applyFont="1" applyBorder="1" applyAlignment="1">
      <alignment horizontal="center" vertical="center"/>
    </xf>
    <xf numFmtId="0" fontId="38" fillId="0" borderId="16" xfId="0" applyFont="1" applyBorder="1" applyAlignment="1">
      <alignment horizontal="center" vertical="center"/>
    </xf>
    <xf numFmtId="0" fontId="11" fillId="0" borderId="16" xfId="0" applyFont="1" applyBorder="1" applyAlignment="1">
      <alignment horizontal="center" vertical="center"/>
    </xf>
    <xf numFmtId="3" fontId="38" fillId="0" borderId="13" xfId="0" applyNumberFormat="1" applyFont="1" applyBorder="1" applyAlignment="1">
      <alignment horizontal="center" vertical="center" wrapText="1"/>
    </xf>
    <xf numFmtId="0" fontId="39" fillId="0" borderId="0" xfId="0" applyFont="1" applyAlignment="1">
      <alignment horizontal="center"/>
    </xf>
    <xf numFmtId="0" fontId="9" fillId="0" borderId="14" xfId="0" applyFont="1" applyBorder="1" applyAlignment="1">
      <alignment horizontal="center" vertical="center"/>
    </xf>
    <xf numFmtId="0" fontId="9" fillId="0" borderId="14" xfId="0" applyFont="1" applyBorder="1" applyAlignment="1">
      <alignment horizontal="center" vertical="center" wrapText="1"/>
    </xf>
    <xf numFmtId="3" fontId="11" fillId="36" borderId="14" xfId="0" applyNumberFormat="1" applyFont="1" applyFill="1" applyBorder="1" applyAlignment="1">
      <alignment horizontal="center" vertical="center"/>
    </xf>
    <xf numFmtId="1" fontId="11" fillId="0" borderId="14" xfId="0" applyNumberFormat="1" applyFont="1" applyBorder="1" applyAlignment="1">
      <alignment horizontal="center" vertical="center" wrapText="1"/>
    </xf>
    <xf numFmtId="0" fontId="2" fillId="0" borderId="0" xfId="0" applyFont="1" applyAlignment="1">
      <alignment wrapText="1"/>
    </xf>
    <xf numFmtId="0" fontId="4" fillId="0" borderId="0" xfId="0" applyFont="1" applyBorder="1" applyAlignment="1">
      <alignment vertical="center" wrapText="1"/>
    </xf>
    <xf numFmtId="0" fontId="0" fillId="0" borderId="23" xfId="0" applyBorder="1" applyAlignment="1">
      <alignment/>
    </xf>
    <xf numFmtId="0" fontId="0" fillId="0" borderId="24" xfId="0" applyBorder="1" applyAlignment="1">
      <alignment/>
    </xf>
    <xf numFmtId="0" fontId="4" fillId="0" borderId="23" xfId="0" applyFont="1" applyBorder="1" applyAlignment="1">
      <alignment vertical="center" wrapText="1"/>
    </xf>
    <xf numFmtId="0" fontId="4" fillId="0" borderId="24" xfId="0" applyFont="1" applyBorder="1" applyAlignment="1">
      <alignment vertical="center" wrapText="1"/>
    </xf>
    <xf numFmtId="0" fontId="41" fillId="32" borderId="14" xfId="59" applyFont="1" applyFill="1" applyBorder="1" applyAlignment="1">
      <alignment horizontal="center" vertical="center" wrapText="1"/>
      <protection/>
    </xf>
    <xf numFmtId="0" fontId="41" fillId="32" borderId="14" xfId="59" applyFont="1" applyFill="1" applyBorder="1" applyAlignment="1">
      <alignment horizontal="justify" vertical="center" wrapText="1"/>
      <protection/>
    </xf>
    <xf numFmtId="3" fontId="41" fillId="32" borderId="14" xfId="59" applyNumberFormat="1" applyFont="1" applyFill="1" applyBorder="1" applyAlignment="1">
      <alignment horizontal="right" vertical="center" wrapText="1"/>
      <protection/>
    </xf>
    <xf numFmtId="3" fontId="41" fillId="32" borderId="14" xfId="59" applyNumberFormat="1" applyFont="1" applyFill="1" applyBorder="1" applyAlignment="1">
      <alignment horizontal="right" vertical="center"/>
      <protection/>
    </xf>
    <xf numFmtId="0" fontId="41" fillId="32" borderId="14" xfId="59" applyFont="1" applyFill="1" applyBorder="1" applyAlignment="1">
      <alignment horizontal="justify" vertical="center" wrapText="1"/>
      <protection/>
    </xf>
    <xf numFmtId="0" fontId="41" fillId="0" borderId="14" xfId="59" applyFont="1" applyFill="1" applyBorder="1" applyAlignment="1">
      <alignment horizontal="justify" vertical="center" wrapText="1"/>
      <protection/>
    </xf>
    <xf numFmtId="182" fontId="41" fillId="32" borderId="14" xfId="52" applyNumberFormat="1" applyFont="1" applyFill="1" applyBorder="1" applyAlignment="1">
      <alignment horizontal="right" vertical="center" wrapText="1"/>
    </xf>
    <xf numFmtId="3" fontId="41" fillId="32" borderId="14" xfId="59" applyNumberFormat="1" applyFont="1" applyFill="1" applyBorder="1" applyAlignment="1">
      <alignment horizontal="center" vertical="center" wrapText="1"/>
      <protection/>
    </xf>
    <xf numFmtId="0" fontId="41" fillId="32" borderId="14" xfId="0" applyFont="1" applyFill="1" applyBorder="1" applyAlignment="1" applyProtection="1">
      <alignment horizontal="justify" vertical="center" wrapText="1"/>
      <protection/>
    </xf>
    <xf numFmtId="182" fontId="41" fillId="32" borderId="14" xfId="52" applyNumberFormat="1" applyFont="1" applyFill="1" applyBorder="1" applyAlignment="1" applyProtection="1">
      <alignment horizontal="right" vertical="center" wrapText="1"/>
      <protection/>
    </xf>
    <xf numFmtId="3" fontId="43" fillId="32" borderId="14" xfId="59" applyNumberFormat="1" applyFont="1" applyFill="1" applyBorder="1" applyAlignment="1">
      <alignment horizontal="right" vertical="center" wrapText="1"/>
      <protection/>
    </xf>
    <xf numFmtId="0" fontId="41" fillId="0" borderId="14" xfId="59" applyFont="1" applyFill="1" applyBorder="1" applyAlignment="1">
      <alignment horizontal="center" vertical="center" wrapText="1"/>
      <protection/>
    </xf>
    <xf numFmtId="0" fontId="44" fillId="32" borderId="14" xfId="59" applyFont="1" applyFill="1" applyBorder="1" applyAlignment="1">
      <alignment horizontal="justify" vertical="center" wrapText="1"/>
      <protection/>
    </xf>
    <xf numFmtId="3" fontId="41" fillId="32" borderId="14" xfId="59" applyNumberFormat="1" applyFont="1" applyFill="1" applyBorder="1" applyAlignment="1" applyProtection="1">
      <alignment horizontal="justify" vertical="center" wrapText="1"/>
      <protection/>
    </xf>
    <xf numFmtId="3" fontId="41" fillId="32" borderId="25" xfId="59" applyNumberFormat="1" applyFont="1" applyFill="1" applyBorder="1" applyAlignment="1" applyProtection="1">
      <alignment horizontal="justify" vertical="center" wrapText="1"/>
      <protection locked="0"/>
    </xf>
    <xf numFmtId="9" fontId="41" fillId="0" borderId="14" xfId="59" applyNumberFormat="1" applyFont="1" applyFill="1" applyBorder="1" applyAlignment="1">
      <alignment horizontal="justify" vertical="center" wrapText="1"/>
      <protection/>
    </xf>
    <xf numFmtId="0" fontId="41" fillId="0" borderId="25" xfId="59" applyFont="1" applyFill="1" applyBorder="1" applyAlignment="1">
      <alignment horizontal="justify" vertical="center" wrapText="1"/>
      <protection/>
    </xf>
    <xf numFmtId="3" fontId="41" fillId="32" borderId="14" xfId="0" applyNumberFormat="1" applyFont="1" applyFill="1" applyBorder="1" applyAlignment="1" applyProtection="1">
      <alignment horizontal="justify" vertical="center" wrapText="1"/>
      <protection locked="0"/>
    </xf>
    <xf numFmtId="3" fontId="41" fillId="32" borderId="14" xfId="59" applyNumberFormat="1" applyFont="1" applyFill="1" applyBorder="1" applyAlignment="1" applyProtection="1">
      <alignment horizontal="justify" vertical="center" wrapText="1"/>
      <protection locked="0"/>
    </xf>
    <xf numFmtId="1" fontId="41" fillId="0" borderId="14" xfId="59" applyNumberFormat="1" applyFont="1" applyFill="1" applyBorder="1" applyAlignment="1" applyProtection="1">
      <alignment horizontal="justify" vertical="center" wrapText="1"/>
      <protection locked="0"/>
    </xf>
    <xf numFmtId="0" fontId="41" fillId="32" borderId="25" xfId="59" applyFont="1" applyFill="1" applyBorder="1" applyAlignment="1">
      <alignment horizontal="justify" vertical="center" wrapText="1"/>
      <protection/>
    </xf>
    <xf numFmtId="0" fontId="41" fillId="41" borderId="13" xfId="59" applyFont="1" applyFill="1" applyBorder="1" applyAlignment="1">
      <alignment horizontal="justify" vertical="center" wrapText="1"/>
      <protection/>
    </xf>
    <xf numFmtId="0" fontId="41" fillId="0" borderId="14" xfId="59" applyFont="1" applyFill="1" applyBorder="1" applyAlignment="1">
      <alignment horizontal="justify" vertical="top" wrapText="1"/>
      <protection/>
    </xf>
    <xf numFmtId="3" fontId="41" fillId="0" borderId="14" xfId="59" applyNumberFormat="1" applyFont="1" applyFill="1" applyBorder="1" applyAlignment="1" applyProtection="1">
      <alignment horizontal="justify" vertical="center" wrapText="1"/>
      <protection/>
    </xf>
    <xf numFmtId="3" fontId="41" fillId="0" borderId="14" xfId="0" applyNumberFormat="1" applyFont="1" applyFill="1" applyBorder="1" applyAlignment="1" applyProtection="1">
      <alignment horizontal="justify" vertical="center" wrapText="1"/>
      <protection locked="0"/>
    </xf>
    <xf numFmtId="0" fontId="46" fillId="0" borderId="14" xfId="0" applyFont="1" applyFill="1" applyBorder="1" applyAlignment="1" applyProtection="1">
      <alignment horizontal="justify" vertical="center" wrapText="1"/>
      <protection locked="0"/>
    </xf>
    <xf numFmtId="3" fontId="41" fillId="0" borderId="14" xfId="59" applyNumberFormat="1" applyFont="1" applyFill="1" applyBorder="1" applyAlignment="1" applyProtection="1">
      <alignment horizontal="justify" vertical="center" wrapText="1"/>
      <protection locked="0"/>
    </xf>
    <xf numFmtId="183" fontId="41" fillId="0" borderId="14" xfId="61" applyNumberFormat="1" applyFont="1" applyFill="1" applyBorder="1" applyAlignment="1" applyProtection="1">
      <alignment horizontal="justify" vertical="center" wrapText="1"/>
      <protection locked="0"/>
    </xf>
    <xf numFmtId="3" fontId="41" fillId="0" borderId="14" xfId="59" applyNumberFormat="1" applyFont="1" applyFill="1" applyBorder="1" applyAlignment="1" applyProtection="1">
      <alignment horizontal="justify" vertical="center"/>
      <protection locked="0"/>
    </xf>
    <xf numFmtId="3" fontId="50" fillId="0" borderId="14" xfId="59" applyNumberFormat="1" applyFont="1" applyFill="1" applyBorder="1" applyAlignment="1" applyProtection="1">
      <alignment horizontal="right" vertical="center" wrapText="1"/>
      <protection/>
    </xf>
    <xf numFmtId="180" fontId="27" fillId="0" borderId="14" xfId="59" applyNumberFormat="1" applyFont="1" applyFill="1" applyBorder="1" applyAlignment="1" applyProtection="1">
      <alignment horizontal="right" vertical="center" wrapText="1"/>
      <protection/>
    </xf>
    <xf numFmtId="3" fontId="41" fillId="0" borderId="14" xfId="59" applyNumberFormat="1" applyFont="1" applyFill="1" applyBorder="1" applyAlignment="1">
      <alignment horizontal="right" vertical="center" wrapText="1"/>
      <protection/>
    </xf>
    <xf numFmtId="3" fontId="41" fillId="32" borderId="25" xfId="59" applyNumberFormat="1" applyFont="1" applyFill="1" applyBorder="1" applyAlignment="1" applyProtection="1">
      <alignment horizontal="justify" vertical="top" wrapText="1"/>
      <protection locked="0"/>
    </xf>
    <xf numFmtId="9" fontId="41" fillId="0" borderId="14" xfId="59" applyNumberFormat="1" applyFont="1" applyFill="1" applyBorder="1" applyAlignment="1">
      <alignment horizontal="justify" vertical="top" wrapText="1"/>
      <protection/>
    </xf>
    <xf numFmtId="3" fontId="41" fillId="32" borderId="14" xfId="59" applyNumberFormat="1" applyFont="1" applyFill="1" applyBorder="1" applyAlignment="1" applyProtection="1">
      <alignment horizontal="justify" vertical="top" wrapText="1"/>
      <protection locked="0"/>
    </xf>
    <xf numFmtId="0" fontId="41" fillId="32" borderId="14" xfId="59" applyFont="1" applyFill="1" applyBorder="1" applyAlignment="1">
      <alignment horizontal="justify" vertical="top" wrapText="1"/>
      <protection/>
    </xf>
    <xf numFmtId="0" fontId="41" fillId="32" borderId="14" xfId="0" applyNumberFormat="1" applyFont="1" applyFill="1" applyBorder="1" applyAlignment="1" applyProtection="1">
      <alignment horizontal="justify" vertical="center" wrapText="1"/>
      <protection/>
    </xf>
    <xf numFmtId="3" fontId="41" fillId="0" borderId="14" xfId="59" applyNumberFormat="1" applyFont="1" applyFill="1" applyBorder="1" applyAlignment="1" applyProtection="1">
      <alignment horizontal="justify" vertical="top" wrapText="1"/>
      <protection locked="0"/>
    </xf>
    <xf numFmtId="0" fontId="41" fillId="32" borderId="14" xfId="0" applyNumberFormat="1" applyFont="1" applyFill="1" applyBorder="1" applyAlignment="1" applyProtection="1">
      <alignment horizontal="justify" vertical="top" wrapText="1"/>
      <protection/>
    </xf>
    <xf numFmtId="3" fontId="41" fillId="32" borderId="14" xfId="59" applyNumberFormat="1" applyFont="1" applyFill="1" applyBorder="1" applyAlignment="1" applyProtection="1">
      <alignment horizontal="justify" vertical="top" wrapText="1"/>
      <protection locked="0"/>
    </xf>
    <xf numFmtId="0" fontId="45" fillId="0" borderId="14" xfId="59" applyFont="1" applyFill="1" applyBorder="1" applyAlignment="1">
      <alignment horizontal="justify" vertical="center" wrapText="1"/>
      <protection/>
    </xf>
    <xf numFmtId="0" fontId="42" fillId="0" borderId="14" xfId="59" applyFont="1" applyFill="1" applyBorder="1" applyAlignment="1">
      <alignment horizontal="justify" vertical="center" wrapText="1"/>
      <protection/>
    </xf>
    <xf numFmtId="0" fontId="41" fillId="0" borderId="14" xfId="59" applyFont="1" applyFill="1" applyBorder="1" applyAlignment="1">
      <alignment horizontal="justify" vertical="center" wrapText="1"/>
      <protection/>
    </xf>
    <xf numFmtId="0" fontId="41" fillId="0" borderId="14" xfId="57" applyFont="1" applyFill="1" applyBorder="1" applyAlignment="1" applyProtection="1">
      <alignment horizontal="justify" vertical="center" wrapText="1"/>
      <protection locked="0"/>
    </xf>
    <xf numFmtId="3" fontId="43" fillId="32" borderId="14" xfId="59" applyNumberFormat="1" applyFont="1" applyFill="1" applyBorder="1" applyAlignment="1" applyProtection="1">
      <alignment horizontal="justify" vertical="center" wrapText="1"/>
      <protection locked="0"/>
    </xf>
    <xf numFmtId="0" fontId="41" fillId="32" borderId="13" xfId="59" applyFont="1" applyFill="1" applyBorder="1" applyAlignment="1" applyProtection="1">
      <alignment horizontal="justify" vertical="center" wrapText="1"/>
      <protection/>
    </xf>
    <xf numFmtId="180" fontId="26" fillId="0" borderId="14" xfId="59" applyNumberFormat="1" applyFont="1" applyFill="1" applyBorder="1" applyAlignment="1" applyProtection="1">
      <alignment horizontal="right" vertical="center" wrapText="1"/>
      <protection/>
    </xf>
    <xf numFmtId="180" fontId="26" fillId="34" borderId="14" xfId="59" applyNumberFormat="1" applyFont="1" applyFill="1" applyBorder="1" applyAlignment="1" applyProtection="1">
      <alignment horizontal="right" vertical="center" wrapText="1"/>
      <protection/>
    </xf>
    <xf numFmtId="3" fontId="27" fillId="32" borderId="14" xfId="0" applyNumberFormat="1" applyFont="1" applyFill="1" applyBorder="1" applyAlignment="1" applyProtection="1">
      <alignment horizontal="right" vertical="center" wrapText="1"/>
      <protection locked="0"/>
    </xf>
    <xf numFmtId="3" fontId="27" fillId="32" borderId="14" xfId="0" applyNumberFormat="1" applyFont="1" applyFill="1" applyBorder="1" applyAlignment="1" applyProtection="1">
      <alignment horizontal="justify" vertical="center" wrapText="1"/>
      <protection locked="0"/>
    </xf>
    <xf numFmtId="3" fontId="27" fillId="0" borderId="14" xfId="59" applyNumberFormat="1" applyFont="1" applyFill="1" applyBorder="1" applyAlignment="1" applyProtection="1">
      <alignment horizontal="right" vertical="center"/>
      <protection locked="0"/>
    </xf>
    <xf numFmtId="3" fontId="40" fillId="0" borderId="14" xfId="59" applyNumberFormat="1" applyFont="1" applyFill="1" applyBorder="1" applyAlignment="1" applyProtection="1">
      <alignment horizontal="justify" vertical="center" wrapText="1"/>
      <protection locked="0"/>
    </xf>
    <xf numFmtId="0" fontId="35" fillId="0" borderId="0" xfId="59" applyFont="1" applyBorder="1" applyAlignment="1" applyProtection="1">
      <alignment horizontal="center" vertical="top"/>
      <protection/>
    </xf>
    <xf numFmtId="180" fontId="27" fillId="0" borderId="25" xfId="59" applyNumberFormat="1" applyFont="1" applyFill="1" applyBorder="1" applyAlignment="1" applyProtection="1">
      <alignment horizontal="right" vertical="center" wrapText="1"/>
      <protection/>
    </xf>
    <xf numFmtId="180" fontId="27" fillId="0" borderId="13" xfId="59" applyNumberFormat="1" applyFont="1" applyFill="1" applyBorder="1" applyAlignment="1" applyProtection="1">
      <alignment horizontal="right" vertical="center" wrapText="1"/>
      <protection/>
    </xf>
    <xf numFmtId="3" fontId="27" fillId="0" borderId="14" xfId="59" applyNumberFormat="1" applyFont="1" applyFill="1" applyBorder="1" applyAlignment="1" applyProtection="1">
      <alignment horizontal="right" vertical="center" wrapText="1"/>
      <protection locked="0"/>
    </xf>
    <xf numFmtId="0" fontId="27" fillId="0" borderId="14" xfId="59" applyFont="1" applyFill="1" applyBorder="1" applyAlignment="1" applyProtection="1">
      <alignment horizontal="right" vertical="center"/>
      <protection locked="0"/>
    </xf>
    <xf numFmtId="0" fontId="27" fillId="0" borderId="14" xfId="59" applyFont="1" applyFill="1" applyBorder="1" applyAlignment="1" applyProtection="1">
      <alignment horizontal="center" vertical="center"/>
      <protection locked="0"/>
    </xf>
    <xf numFmtId="39" fontId="27" fillId="0" borderId="14" xfId="59" applyNumberFormat="1" applyFont="1" applyFill="1" applyBorder="1" applyAlignment="1" applyProtection="1">
      <alignment horizontal="right" vertical="center" wrapText="1"/>
      <protection locked="0"/>
    </xf>
    <xf numFmtId="166" fontId="27" fillId="0" borderId="14" xfId="59" applyNumberFormat="1" applyFont="1" applyFill="1" applyBorder="1" applyAlignment="1" applyProtection="1">
      <alignment horizontal="justify" vertical="center" wrapText="1"/>
      <protection locked="0"/>
    </xf>
    <xf numFmtId="1" fontId="27" fillId="0" borderId="14" xfId="59" applyNumberFormat="1" applyFont="1" applyFill="1" applyBorder="1" applyAlignment="1" applyProtection="1">
      <alignment horizontal="center" vertical="center" wrapText="1"/>
      <protection locked="0"/>
    </xf>
    <xf numFmtId="1" fontId="29" fillId="0" borderId="14" xfId="59" applyNumberFormat="1" applyFont="1" applyFill="1" applyBorder="1" applyAlignment="1" applyProtection="1">
      <alignment horizontal="justify" vertical="center" wrapText="1"/>
      <protection locked="0"/>
    </xf>
    <xf numFmtId="3" fontId="27" fillId="0" borderId="14" xfId="53" applyNumberFormat="1" applyFont="1" applyFill="1" applyBorder="1" applyAlignment="1" applyProtection="1">
      <alignment horizontal="right" vertical="center" wrapText="1"/>
      <protection locked="0"/>
    </xf>
    <xf numFmtId="3" fontId="27" fillId="32" borderId="14" xfId="0" applyNumberFormat="1" applyFont="1" applyFill="1" applyBorder="1" applyAlignment="1" applyProtection="1">
      <alignment horizontal="right" vertical="center" wrapText="1"/>
      <protection/>
    </xf>
    <xf numFmtId="39" fontId="27" fillId="0" borderId="14" xfId="59" applyNumberFormat="1" applyFont="1" applyFill="1" applyBorder="1" applyAlignment="1" applyProtection="1">
      <alignment horizontal="right" vertical="center" wrapText="1"/>
      <protection/>
    </xf>
    <xf numFmtId="9" fontId="26" fillId="34" borderId="14" xfId="61" applyFont="1" applyFill="1" applyBorder="1" applyAlignment="1" applyProtection="1">
      <alignment vertical="center" wrapText="1"/>
      <protection/>
    </xf>
    <xf numFmtId="9" fontId="26" fillId="39" borderId="14" xfId="61" applyFont="1" applyFill="1" applyBorder="1" applyAlignment="1" applyProtection="1">
      <alignment vertical="center" wrapText="1"/>
      <protection/>
    </xf>
    <xf numFmtId="3" fontId="26" fillId="34" borderId="26" xfId="0" applyNumberFormat="1" applyFont="1" applyFill="1" applyBorder="1" applyAlignment="1" applyProtection="1">
      <alignment horizontal="center" vertical="center" wrapText="1"/>
      <protection/>
    </xf>
    <xf numFmtId="3" fontId="26" fillId="35" borderId="27" xfId="59" applyNumberFormat="1" applyFont="1" applyFill="1" applyBorder="1" applyAlignment="1" applyProtection="1">
      <alignment vertical="center"/>
      <protection/>
    </xf>
    <xf numFmtId="9" fontId="27" fillId="0" borderId="13" xfId="61" applyFont="1" applyFill="1" applyBorder="1" applyAlignment="1" applyProtection="1">
      <alignment horizontal="right" vertical="center" wrapText="1"/>
      <protection/>
    </xf>
    <xf numFmtId="9" fontId="26" fillId="34" borderId="25" xfId="61" applyFont="1" applyFill="1" applyBorder="1" applyAlignment="1" applyProtection="1">
      <alignment vertical="center"/>
      <protection/>
    </xf>
    <xf numFmtId="3" fontId="26" fillId="34" borderId="28" xfId="59" applyNumberFormat="1" applyFont="1" applyFill="1" applyBorder="1" applyAlignment="1" applyProtection="1">
      <alignment vertical="center"/>
      <protection/>
    </xf>
    <xf numFmtId="9" fontId="26" fillId="34" borderId="25" xfId="61" applyFont="1" applyFill="1" applyBorder="1" applyAlignment="1" applyProtection="1">
      <alignment vertical="center" wrapText="1"/>
      <protection/>
    </xf>
    <xf numFmtId="3" fontId="26" fillId="34" borderId="28" xfId="59" applyNumberFormat="1" applyFont="1" applyFill="1" applyBorder="1" applyAlignment="1" applyProtection="1">
      <alignment vertical="center" wrapText="1"/>
      <protection/>
    </xf>
    <xf numFmtId="3" fontId="26" fillId="38" borderId="28" xfId="59" applyNumberFormat="1" applyFont="1" applyFill="1" applyBorder="1" applyAlignment="1" applyProtection="1">
      <alignment vertical="center" wrapText="1"/>
      <protection/>
    </xf>
    <xf numFmtId="9" fontId="26" fillId="39" borderId="25" xfId="61" applyFont="1" applyFill="1" applyBorder="1" applyAlignment="1" applyProtection="1">
      <alignment vertical="center" wrapText="1"/>
      <protection/>
    </xf>
    <xf numFmtId="9" fontId="26" fillId="38" borderId="25" xfId="61" applyFont="1" applyFill="1" applyBorder="1" applyAlignment="1" applyProtection="1">
      <alignment vertical="center" wrapText="1"/>
      <protection/>
    </xf>
    <xf numFmtId="0" fontId="51" fillId="0" borderId="0" xfId="0" applyFont="1" applyAlignment="1">
      <alignment wrapText="1"/>
    </xf>
    <xf numFmtId="3" fontId="28" fillId="33" borderId="16" xfId="0" applyNumberFormat="1" applyFont="1" applyFill="1" applyBorder="1" applyAlignment="1" applyProtection="1">
      <alignment horizontal="center" vertical="center" wrapText="1"/>
      <protection/>
    </xf>
    <xf numFmtId="3" fontId="28" fillId="5" borderId="16" xfId="0" applyNumberFormat="1" applyFont="1" applyFill="1" applyBorder="1" applyAlignment="1" applyProtection="1">
      <alignment horizontal="center" vertical="center" wrapText="1"/>
      <protection/>
    </xf>
    <xf numFmtId="3" fontId="28" fillId="42" borderId="16" xfId="0" applyNumberFormat="1" applyFont="1" applyFill="1" applyBorder="1" applyAlignment="1" applyProtection="1">
      <alignment horizontal="center" vertical="center" wrapText="1"/>
      <protection/>
    </xf>
    <xf numFmtId="3" fontId="54" fillId="5" borderId="18" xfId="59" applyNumberFormat="1" applyFont="1" applyFill="1" applyBorder="1" applyAlignment="1" applyProtection="1">
      <alignment horizontal="center" vertical="center"/>
      <protection/>
    </xf>
    <xf numFmtId="3" fontId="54" fillId="5" borderId="17" xfId="59" applyNumberFormat="1" applyFont="1" applyFill="1" applyBorder="1" applyAlignment="1" applyProtection="1">
      <alignment horizontal="center" vertical="center"/>
      <protection/>
    </xf>
    <xf numFmtId="3" fontId="54" fillId="5" borderId="19" xfId="59" applyNumberFormat="1" applyFont="1" applyFill="1" applyBorder="1" applyAlignment="1" applyProtection="1">
      <alignment horizontal="center" vertical="center"/>
      <protection/>
    </xf>
    <xf numFmtId="0" fontId="4" fillId="0" borderId="0" xfId="0" applyFont="1" applyAlignment="1">
      <alignment/>
    </xf>
    <xf numFmtId="3" fontId="54" fillId="3" borderId="27" xfId="59" applyNumberFormat="1" applyFont="1" applyFill="1" applyBorder="1" applyAlignment="1" applyProtection="1">
      <alignment horizontal="center" vertical="center"/>
      <protection/>
    </xf>
    <xf numFmtId="3" fontId="26" fillId="0" borderId="27" xfId="59" applyNumberFormat="1" applyFont="1" applyFill="1" applyBorder="1" applyAlignment="1" applyProtection="1">
      <alignment horizontal="center" vertical="center" wrapText="1"/>
      <protection/>
    </xf>
    <xf numFmtId="0" fontId="0" fillId="0" borderId="0" xfId="0" applyFill="1" applyAlignment="1">
      <alignment/>
    </xf>
    <xf numFmtId="3" fontId="26" fillId="0" borderId="29" xfId="59" applyNumberFormat="1" applyFont="1" applyFill="1" applyBorder="1" applyAlignment="1" applyProtection="1">
      <alignment horizontal="center" vertical="center" wrapText="1"/>
      <protection/>
    </xf>
    <xf numFmtId="3" fontId="26" fillId="0" borderId="0" xfId="59" applyNumberFormat="1" applyFont="1" applyFill="1" applyBorder="1" applyAlignment="1" applyProtection="1">
      <alignment horizontal="center" vertical="center" wrapText="1"/>
      <protection/>
    </xf>
    <xf numFmtId="3" fontId="26" fillId="0" borderId="30" xfId="59" applyNumberFormat="1" applyFont="1" applyFill="1" applyBorder="1" applyAlignment="1" applyProtection="1">
      <alignment horizontal="center" vertical="center" wrapText="1"/>
      <protection/>
    </xf>
    <xf numFmtId="3" fontId="56" fillId="43" borderId="29" xfId="59" applyNumberFormat="1" applyFont="1" applyFill="1" applyBorder="1" applyAlignment="1" applyProtection="1">
      <alignment vertical="center"/>
      <protection/>
    </xf>
    <xf numFmtId="3" fontId="26" fillId="43" borderId="27" xfId="59" applyNumberFormat="1" applyFont="1" applyFill="1" applyBorder="1" applyAlignment="1" applyProtection="1">
      <alignment vertical="center"/>
      <protection/>
    </xf>
    <xf numFmtId="3" fontId="26" fillId="43" borderId="30" xfId="59" applyNumberFormat="1" applyFont="1" applyFill="1" applyBorder="1" applyAlignment="1" applyProtection="1">
      <alignment vertical="center"/>
      <protection/>
    </xf>
    <xf numFmtId="3" fontId="26" fillId="43" borderId="18" xfId="59" applyNumberFormat="1" applyFont="1" applyFill="1" applyBorder="1" applyAlignment="1" applyProtection="1">
      <alignment vertical="center"/>
      <protection/>
    </xf>
    <xf numFmtId="3" fontId="26" fillId="43" borderId="17" xfId="59" applyNumberFormat="1" applyFont="1" applyFill="1" applyBorder="1" applyAlignment="1" applyProtection="1">
      <alignment vertical="center"/>
      <protection/>
    </xf>
    <xf numFmtId="3" fontId="26" fillId="43" borderId="19" xfId="59" applyNumberFormat="1" applyFont="1" applyFill="1" applyBorder="1" applyAlignment="1" applyProtection="1">
      <alignment vertical="center"/>
      <protection/>
    </xf>
    <xf numFmtId="3" fontId="56" fillId="44" borderId="18" xfId="59" applyNumberFormat="1" applyFont="1" applyFill="1" applyBorder="1" applyAlignment="1" applyProtection="1">
      <alignment vertical="center"/>
      <protection/>
    </xf>
    <xf numFmtId="3" fontId="26" fillId="44" borderId="17" xfId="59" applyNumberFormat="1" applyFont="1" applyFill="1" applyBorder="1" applyAlignment="1" applyProtection="1">
      <alignment vertical="center"/>
      <protection/>
    </xf>
    <xf numFmtId="3" fontId="26" fillId="44" borderId="19" xfId="59" applyNumberFormat="1" applyFont="1" applyFill="1" applyBorder="1" applyAlignment="1" applyProtection="1">
      <alignment vertical="center"/>
      <protection/>
    </xf>
    <xf numFmtId="3" fontId="26" fillId="44" borderId="18" xfId="59" applyNumberFormat="1" applyFont="1" applyFill="1" applyBorder="1" applyAlignment="1" applyProtection="1">
      <alignment vertical="center"/>
      <protection/>
    </xf>
    <xf numFmtId="0" fontId="27" fillId="0" borderId="13" xfId="59" applyFont="1" applyFill="1" applyBorder="1" applyAlignment="1" applyProtection="1">
      <alignment horizontal="center" vertical="center" wrapText="1"/>
      <protection/>
    </xf>
    <xf numFmtId="0" fontId="27" fillId="0" borderId="13" xfId="59" applyFont="1" applyFill="1" applyBorder="1" applyAlignment="1" applyProtection="1">
      <alignment horizontal="justify" vertical="center" wrapText="1"/>
      <protection/>
    </xf>
    <xf numFmtId="0" fontId="0" fillId="0" borderId="14" xfId="0" applyBorder="1" applyAlignment="1">
      <alignment horizontal="justify" vertical="center" wrapText="1"/>
    </xf>
    <xf numFmtId="0" fontId="0" fillId="0" borderId="14" xfId="0" applyBorder="1" applyAlignment="1">
      <alignment/>
    </xf>
    <xf numFmtId="0" fontId="0" fillId="0" borderId="18" xfId="0" applyBorder="1" applyAlignment="1">
      <alignment horizontal="justify" vertical="center" wrapText="1"/>
    </xf>
    <xf numFmtId="0" fontId="27" fillId="0" borderId="25" xfId="59" applyFont="1" applyFill="1" applyBorder="1" applyAlignment="1" applyProtection="1">
      <alignment horizontal="center" vertical="center" wrapText="1"/>
      <protection/>
    </xf>
    <xf numFmtId="3" fontId="27" fillId="0" borderId="25" xfId="59" applyNumberFormat="1" applyFont="1" applyFill="1" applyBorder="1" applyAlignment="1" applyProtection="1">
      <alignment horizontal="justify" vertical="center" wrapText="1"/>
      <protection/>
    </xf>
    <xf numFmtId="3" fontId="27" fillId="0" borderId="25" xfId="59" applyNumberFormat="1" applyFont="1" applyFill="1" applyBorder="1" applyAlignment="1" applyProtection="1">
      <alignment horizontal="center" vertical="center" wrapText="1"/>
      <protection/>
    </xf>
    <xf numFmtId="3" fontId="56" fillId="43" borderId="0" xfId="59" applyNumberFormat="1" applyFont="1" applyFill="1" applyBorder="1" applyAlignment="1" applyProtection="1">
      <alignment vertical="center"/>
      <protection/>
    </xf>
    <xf numFmtId="3" fontId="26" fillId="43" borderId="0" xfId="59" applyNumberFormat="1" applyFont="1" applyFill="1" applyBorder="1" applyAlignment="1" applyProtection="1">
      <alignment vertical="center"/>
      <protection/>
    </xf>
    <xf numFmtId="3" fontId="26" fillId="43" borderId="14" xfId="59" applyNumberFormat="1" applyFont="1" applyFill="1" applyBorder="1" applyAlignment="1" applyProtection="1">
      <alignment vertical="center"/>
      <protection/>
    </xf>
    <xf numFmtId="3" fontId="26" fillId="44" borderId="14" xfId="59" applyNumberFormat="1" applyFont="1" applyFill="1" applyBorder="1" applyAlignment="1" applyProtection="1">
      <alignment vertical="center"/>
      <protection/>
    </xf>
    <xf numFmtId="3" fontId="27" fillId="0" borderId="13" xfId="59" applyNumberFormat="1" applyFont="1" applyFill="1" applyBorder="1" applyAlignment="1" applyProtection="1">
      <alignment horizontal="justify" vertical="center" wrapText="1"/>
      <protection/>
    </xf>
    <xf numFmtId="3" fontId="27" fillId="0" borderId="13" xfId="59" applyNumberFormat="1" applyFont="1" applyFill="1" applyBorder="1" applyAlignment="1" applyProtection="1">
      <alignment horizontal="center" vertical="center" wrapText="1"/>
      <protection/>
    </xf>
    <xf numFmtId="0" fontId="0" fillId="0" borderId="25" xfId="0" applyBorder="1" applyAlignment="1">
      <alignment horizontal="justify" vertical="center" wrapText="1"/>
    </xf>
    <xf numFmtId="0" fontId="0" fillId="0" borderId="29" xfId="0" applyBorder="1" applyAlignment="1">
      <alignment horizontal="justify" vertical="center" wrapText="1"/>
    </xf>
    <xf numFmtId="0" fontId="0" fillId="0" borderId="13" xfId="0" applyBorder="1" applyAlignment="1">
      <alignment horizontal="justify" vertical="center" wrapText="1"/>
    </xf>
    <xf numFmtId="0" fontId="0" fillId="0" borderId="31" xfId="0" applyBorder="1" applyAlignment="1">
      <alignment horizontal="justify" vertical="center" wrapText="1"/>
    </xf>
    <xf numFmtId="0" fontId="27" fillId="0" borderId="14" xfId="58" applyFont="1" applyFill="1" applyBorder="1" applyAlignment="1" applyProtection="1">
      <alignment horizontal="justify" vertical="center" wrapText="1"/>
      <protection/>
    </xf>
    <xf numFmtId="0" fontId="0" fillId="0" borderId="18" xfId="0" applyBorder="1" applyAlignment="1">
      <alignment/>
    </xf>
    <xf numFmtId="180" fontId="27" fillId="0" borderId="13" xfId="59" applyNumberFormat="1" applyFont="1" applyFill="1" applyBorder="1" applyAlignment="1" applyProtection="1">
      <alignment horizontal="justify" vertical="center" wrapText="1"/>
      <protection/>
    </xf>
    <xf numFmtId="0" fontId="27" fillId="0" borderId="31" xfId="59" applyFont="1" applyFill="1" applyBorder="1" applyAlignment="1" applyProtection="1">
      <alignment horizontal="justify" vertical="center" wrapText="1"/>
      <protection/>
    </xf>
    <xf numFmtId="3" fontId="26" fillId="44" borderId="27" xfId="59" applyNumberFormat="1" applyFont="1" applyFill="1" applyBorder="1" applyAlignment="1" applyProtection="1">
      <alignment vertical="center"/>
      <protection/>
    </xf>
    <xf numFmtId="0" fontId="0" fillId="0" borderId="14" xfId="0" applyBorder="1" applyAlignment="1">
      <alignment wrapText="1"/>
    </xf>
    <xf numFmtId="0" fontId="0" fillId="0" borderId="18" xfId="0" applyBorder="1" applyAlignment="1">
      <alignment wrapText="1"/>
    </xf>
    <xf numFmtId="0" fontId="27" fillId="0" borderId="25" xfId="59" applyFont="1" applyFill="1" applyBorder="1" applyAlignment="1" applyProtection="1">
      <alignment horizontal="justify" vertical="center" wrapText="1"/>
      <protection/>
    </xf>
    <xf numFmtId="0" fontId="27" fillId="0" borderId="18" xfId="59" applyFont="1" applyFill="1" applyBorder="1" applyAlignment="1" applyProtection="1">
      <alignment horizontal="justify" vertical="center" wrapText="1"/>
      <protection/>
    </xf>
    <xf numFmtId="0" fontId="27" fillId="0" borderId="29" xfId="59" applyFont="1" applyFill="1" applyBorder="1" applyAlignment="1" applyProtection="1">
      <alignment horizontal="justify" vertical="center" wrapText="1"/>
      <protection/>
    </xf>
    <xf numFmtId="0" fontId="41" fillId="0" borderId="18" xfId="59" applyFont="1" applyFill="1" applyBorder="1" applyAlignment="1">
      <alignment horizontal="justify" vertical="center" wrapText="1"/>
      <protection/>
    </xf>
    <xf numFmtId="10" fontId="41" fillId="0" borderId="14" xfId="59" applyNumberFormat="1" applyFont="1" applyFill="1" applyBorder="1" applyAlignment="1">
      <alignment horizontal="justify" vertical="center" wrapText="1"/>
      <protection/>
    </xf>
    <xf numFmtId="10" fontId="41" fillId="0" borderId="18" xfId="59" applyNumberFormat="1" applyFont="1" applyFill="1" applyBorder="1" applyAlignment="1">
      <alignment horizontal="justify" vertical="center" wrapText="1"/>
      <protection/>
    </xf>
    <xf numFmtId="9" fontId="0" fillId="0" borderId="14" xfId="0" applyNumberFormat="1" applyBorder="1" applyAlignment="1">
      <alignment/>
    </xf>
    <xf numFmtId="9" fontId="0" fillId="0" borderId="18" xfId="0" applyNumberFormat="1" applyBorder="1" applyAlignment="1">
      <alignment/>
    </xf>
    <xf numFmtId="10" fontId="0" fillId="0" borderId="14" xfId="0" applyNumberFormat="1" applyBorder="1" applyAlignment="1">
      <alignment/>
    </xf>
    <xf numFmtId="10" fontId="0" fillId="0" borderId="18" xfId="0" applyNumberFormat="1" applyBorder="1" applyAlignment="1">
      <alignment/>
    </xf>
    <xf numFmtId="3" fontId="41" fillId="32" borderId="14" xfId="59" applyNumberFormat="1" applyFont="1" applyFill="1" applyBorder="1" applyAlignment="1">
      <alignment horizontal="justify" vertical="center" wrapText="1"/>
      <protection/>
    </xf>
    <xf numFmtId="0" fontId="41" fillId="36" borderId="14" xfId="59" applyFont="1" applyFill="1" applyBorder="1" applyAlignment="1">
      <alignment horizontal="justify" vertical="center" wrapText="1"/>
      <protection/>
    </xf>
    <xf numFmtId="0" fontId="0" fillId="36" borderId="14" xfId="0" applyFill="1" applyBorder="1" applyAlignment="1">
      <alignment/>
    </xf>
    <xf numFmtId="0" fontId="0" fillId="36" borderId="18" xfId="0" applyFill="1" applyBorder="1" applyAlignment="1">
      <alignment/>
    </xf>
    <xf numFmtId="0" fontId="3" fillId="32" borderId="14" xfId="0" applyFont="1" applyFill="1" applyBorder="1" applyAlignment="1">
      <alignment horizontal="justify" vertical="center" wrapText="1"/>
    </xf>
    <xf numFmtId="0" fontId="3" fillId="32" borderId="32" xfId="0" applyFont="1" applyFill="1" applyBorder="1" applyAlignment="1">
      <alignment horizontal="justify" vertical="center" wrapText="1"/>
    </xf>
    <xf numFmtId="0" fontId="3" fillId="32" borderId="18" xfId="0" applyFont="1" applyFill="1" applyBorder="1" applyAlignment="1">
      <alignment horizontal="justify" vertical="center" wrapText="1"/>
    </xf>
    <xf numFmtId="3" fontId="26" fillId="44" borderId="29" xfId="59" applyNumberFormat="1" applyFont="1" applyFill="1" applyBorder="1" applyAlignment="1" applyProtection="1">
      <alignment vertical="center"/>
      <protection/>
    </xf>
    <xf numFmtId="0" fontId="29" fillId="0" borderId="14" xfId="0" applyFont="1" applyBorder="1" applyAlignment="1">
      <alignment horizontal="justify" vertical="center" wrapText="1"/>
    </xf>
    <xf numFmtId="0" fontId="27" fillId="0" borderId="25" xfId="0" applyFont="1" applyBorder="1" applyAlignment="1">
      <alignment horizontal="justify" vertical="center" wrapText="1"/>
    </xf>
    <xf numFmtId="0" fontId="27" fillId="0" borderId="29" xfId="0" applyFont="1" applyBorder="1" applyAlignment="1">
      <alignment horizontal="justify" vertical="center" wrapText="1"/>
    </xf>
    <xf numFmtId="0" fontId="27" fillId="0" borderId="14" xfId="0" applyFont="1" applyBorder="1" applyAlignment="1">
      <alignment horizontal="justify" vertical="center" wrapText="1"/>
    </xf>
    <xf numFmtId="0" fontId="27" fillId="0" borderId="13" xfId="0" applyFont="1" applyBorder="1" applyAlignment="1">
      <alignment horizontal="justify" vertical="center" wrapText="1"/>
    </xf>
    <xf numFmtId="0" fontId="27" fillId="0" borderId="31" xfId="0" applyFont="1" applyBorder="1" applyAlignment="1">
      <alignment horizontal="justify" vertical="center" wrapText="1"/>
    </xf>
    <xf numFmtId="0" fontId="0" fillId="37" borderId="0" xfId="0" applyFill="1" applyAlignment="1">
      <alignment/>
    </xf>
    <xf numFmtId="0" fontId="1" fillId="0" borderId="0" xfId="0" applyFont="1" applyBorder="1" applyAlignment="1">
      <alignment/>
    </xf>
    <xf numFmtId="0" fontId="53" fillId="0" borderId="0" xfId="0" applyFont="1" applyBorder="1" applyAlignment="1">
      <alignment/>
    </xf>
    <xf numFmtId="0" fontId="21" fillId="0" borderId="0" xfId="0" applyFont="1" applyBorder="1" applyAlignment="1">
      <alignment vertical="top" wrapText="1"/>
    </xf>
    <xf numFmtId="3" fontId="36" fillId="0" borderId="0" xfId="59" applyNumberFormat="1" applyFont="1" applyAlignment="1" applyProtection="1">
      <alignment vertical="center"/>
      <protection/>
    </xf>
    <xf numFmtId="0" fontId="41" fillId="0" borderId="14" xfId="59" applyNumberFormat="1" applyFont="1" applyFill="1" applyBorder="1" applyAlignment="1">
      <alignment horizontal="justify" vertical="center" wrapText="1"/>
      <protection/>
    </xf>
    <xf numFmtId="0" fontId="41" fillId="0" borderId="14" xfId="59" applyNumberFormat="1" applyFont="1" applyFill="1" applyBorder="1" applyAlignment="1" applyProtection="1">
      <alignment horizontal="justify" vertical="center" wrapText="1"/>
      <protection/>
    </xf>
    <xf numFmtId="180" fontId="27" fillId="32" borderId="14" xfId="59" applyNumberFormat="1" applyFont="1" applyFill="1" applyBorder="1" applyAlignment="1" applyProtection="1">
      <alignment horizontal="right" vertical="center" wrapText="1"/>
      <protection/>
    </xf>
    <xf numFmtId="0" fontId="41" fillId="0" borderId="14" xfId="59" applyFont="1" applyFill="1" applyBorder="1" applyAlignment="1" applyProtection="1">
      <alignment horizontal="justify" vertical="center" wrapText="1"/>
      <protection/>
    </xf>
    <xf numFmtId="3" fontId="27" fillId="0" borderId="33" xfId="59" applyNumberFormat="1" applyFont="1" applyFill="1" applyBorder="1" applyAlignment="1" applyProtection="1">
      <alignment horizontal="right" vertical="center" wrapText="1"/>
      <protection locked="0"/>
    </xf>
    <xf numFmtId="9" fontId="27" fillId="0" borderId="14" xfId="59" applyNumberFormat="1" applyFont="1" applyFill="1" applyBorder="1" applyAlignment="1" applyProtection="1">
      <alignment vertical="center" wrapText="1"/>
      <protection/>
    </xf>
    <xf numFmtId="9" fontId="27" fillId="0" borderId="33" xfId="61" applyFont="1" applyFill="1" applyBorder="1" applyAlignment="1" applyProtection="1">
      <alignment horizontal="right" vertical="center" wrapText="1"/>
      <protection/>
    </xf>
    <xf numFmtId="9" fontId="27" fillId="0" borderId="14" xfId="59" applyNumberFormat="1" applyFont="1" applyFill="1" applyBorder="1" applyAlignment="1" applyProtection="1">
      <alignment horizontal="right" vertical="center" wrapText="1"/>
      <protection locked="0"/>
    </xf>
    <xf numFmtId="0" fontId="27" fillId="0" borderId="34" xfId="59" applyFont="1" applyFill="1" applyBorder="1" applyAlignment="1" applyProtection="1">
      <alignment horizontal="justify" vertical="center" wrapText="1"/>
      <protection locked="0"/>
    </xf>
    <xf numFmtId="3" fontId="27" fillId="0" borderId="33" xfId="59" applyNumberFormat="1" applyFont="1" applyFill="1" applyBorder="1" applyAlignment="1" applyProtection="1">
      <alignment horizontal="justify" vertical="center" wrapText="1"/>
      <protection locked="0"/>
    </xf>
    <xf numFmtId="3" fontId="40" fillId="0" borderId="14" xfId="59" applyNumberFormat="1" applyFont="1" applyFill="1" applyBorder="1" applyAlignment="1" applyProtection="1">
      <alignment horizontal="left" vertical="center" wrapText="1"/>
      <protection locked="0"/>
    </xf>
    <xf numFmtId="9" fontId="27" fillId="0" borderId="14" xfId="61" applyFont="1" applyFill="1" applyBorder="1" applyAlignment="1" applyProtection="1">
      <alignment vertical="center" wrapText="1"/>
      <protection locked="0"/>
    </xf>
    <xf numFmtId="10" fontId="27" fillId="0" borderId="14" xfId="59" applyNumberFormat="1" applyFont="1" applyFill="1" applyBorder="1" applyAlignment="1" applyProtection="1">
      <alignment horizontal="right" vertical="center" wrapText="1"/>
      <protection locked="0"/>
    </xf>
    <xf numFmtId="10" fontId="27" fillId="32" borderId="14" xfId="0" applyNumberFormat="1" applyFont="1" applyFill="1" applyBorder="1" applyAlignment="1" applyProtection="1">
      <alignment horizontal="right" vertical="center" wrapText="1"/>
      <protection locked="0"/>
    </xf>
    <xf numFmtId="10" fontId="27" fillId="0" borderId="14" xfId="59" applyNumberFormat="1" applyFont="1" applyFill="1" applyBorder="1" applyAlignment="1" applyProtection="1">
      <alignment vertical="center" wrapText="1"/>
      <protection locked="0"/>
    </xf>
    <xf numFmtId="10" fontId="29" fillId="0" borderId="14" xfId="59" applyNumberFormat="1" applyFont="1" applyFill="1" applyBorder="1" applyAlignment="1" applyProtection="1">
      <alignment vertical="center" wrapText="1"/>
      <protection locked="0"/>
    </xf>
    <xf numFmtId="10" fontId="27" fillId="0" borderId="14" xfId="59" applyNumberFormat="1" applyFont="1" applyFill="1" applyBorder="1" applyAlignment="1" applyProtection="1">
      <alignment vertical="top" wrapText="1"/>
      <protection locked="0"/>
    </xf>
    <xf numFmtId="10" fontId="27" fillId="0" borderId="14" xfId="59" applyNumberFormat="1" applyFont="1" applyFill="1" applyBorder="1" applyAlignment="1" applyProtection="1">
      <alignment horizontal="right" vertical="top"/>
      <protection locked="0"/>
    </xf>
    <xf numFmtId="10" fontId="27" fillId="0" borderId="14" xfId="59" applyNumberFormat="1" applyFont="1" applyFill="1" applyBorder="1" applyAlignment="1" applyProtection="1">
      <alignment horizontal="right" vertical="center"/>
      <protection locked="0"/>
    </xf>
    <xf numFmtId="10" fontId="29" fillId="0" borderId="14" xfId="59" applyNumberFormat="1" applyFont="1" applyFill="1" applyBorder="1" applyAlignment="1" applyProtection="1">
      <alignment horizontal="right" vertical="top"/>
      <protection locked="0"/>
    </xf>
    <xf numFmtId="10" fontId="29" fillId="0" borderId="14" xfId="59" applyNumberFormat="1" applyFont="1" applyFill="1" applyBorder="1" applyAlignment="1" applyProtection="1">
      <alignment horizontal="right" vertical="center" wrapText="1"/>
      <protection locked="0"/>
    </xf>
    <xf numFmtId="10" fontId="27" fillId="0" borderId="14" xfId="59" applyNumberFormat="1" applyFont="1" applyFill="1" applyBorder="1" applyAlignment="1" applyProtection="1">
      <alignment horizontal="right" vertical="center" wrapText="1"/>
      <protection/>
    </xf>
    <xf numFmtId="0" fontId="41" fillId="0" borderId="14" xfId="59" applyNumberFormat="1" applyFont="1" applyFill="1" applyBorder="1" applyAlignment="1" applyProtection="1">
      <alignment horizontal="justify" vertical="center" wrapText="1"/>
      <protection locked="0"/>
    </xf>
    <xf numFmtId="0" fontId="41" fillId="32" borderId="14" xfId="59" applyFont="1" applyFill="1" applyBorder="1" applyAlignment="1" applyProtection="1">
      <alignment horizontal="justify" vertical="center" wrapText="1"/>
      <protection/>
    </xf>
    <xf numFmtId="3" fontId="41" fillId="32" borderId="14" xfId="0" applyNumberFormat="1" applyFont="1" applyFill="1" applyBorder="1" applyAlignment="1" applyProtection="1">
      <alignment horizontal="justify" vertical="center" wrapText="1"/>
      <protection/>
    </xf>
    <xf numFmtId="3" fontId="41" fillId="0" borderId="14" xfId="0" applyNumberFormat="1" applyFont="1" applyFill="1" applyBorder="1" applyAlignment="1" applyProtection="1">
      <alignment horizontal="justify" vertical="center" wrapText="1"/>
      <protection/>
    </xf>
    <xf numFmtId="180" fontId="41" fillId="32" borderId="14" xfId="52" applyNumberFormat="1" applyFont="1" applyFill="1" applyBorder="1" applyAlignment="1" applyProtection="1">
      <alignment horizontal="right" vertical="center" wrapText="1"/>
      <protection/>
    </xf>
    <xf numFmtId="180" fontId="41" fillId="32" borderId="14" xfId="59" applyNumberFormat="1" applyFont="1" applyFill="1" applyBorder="1" applyAlignment="1" applyProtection="1">
      <alignment horizontal="right" vertical="center" wrapText="1"/>
      <protection/>
    </xf>
    <xf numFmtId="3" fontId="41" fillId="32" borderId="25" xfId="59" applyNumberFormat="1" applyFont="1" applyFill="1" applyBorder="1" applyAlignment="1" applyProtection="1">
      <alignment horizontal="justify" vertical="center" wrapText="1"/>
      <protection/>
    </xf>
    <xf numFmtId="1" fontId="41" fillId="0" borderId="14" xfId="59" applyNumberFormat="1" applyFont="1" applyFill="1" applyBorder="1" applyAlignment="1" applyProtection="1">
      <alignment horizontal="justify" vertical="center" wrapText="1"/>
      <protection/>
    </xf>
    <xf numFmtId="180" fontId="40" fillId="0" borderId="14" xfId="59" applyNumberFormat="1" applyFont="1" applyFill="1" applyBorder="1" applyAlignment="1" applyProtection="1">
      <alignment horizontal="right" vertical="center" wrapText="1"/>
      <protection/>
    </xf>
    <xf numFmtId="183" fontId="41" fillId="0" borderId="14" xfId="61" applyNumberFormat="1" applyFont="1" applyFill="1" applyBorder="1" applyAlignment="1" applyProtection="1">
      <alignment horizontal="justify" vertical="center" wrapText="1"/>
      <protection/>
    </xf>
    <xf numFmtId="0" fontId="41" fillId="0" borderId="14" xfId="57" applyFont="1" applyFill="1" applyBorder="1" applyAlignment="1" applyProtection="1">
      <alignment horizontal="justify" vertical="center" wrapText="1"/>
      <protection/>
    </xf>
    <xf numFmtId="3" fontId="43" fillId="32" borderId="14" xfId="59" applyNumberFormat="1" applyFont="1" applyFill="1" applyBorder="1" applyAlignment="1" applyProtection="1">
      <alignment horizontal="justify" vertical="center" wrapText="1"/>
      <protection/>
    </xf>
    <xf numFmtId="0" fontId="41" fillId="32" borderId="14" xfId="59" applyFont="1" applyFill="1" applyBorder="1" applyAlignment="1" applyProtection="1">
      <alignment vertical="center" wrapText="1"/>
      <protection/>
    </xf>
    <xf numFmtId="0" fontId="41" fillId="32" borderId="14" xfId="59" applyFont="1" applyFill="1" applyBorder="1" applyAlignment="1" applyProtection="1">
      <alignment horizontal="justify" vertical="top" wrapText="1"/>
      <protection/>
    </xf>
    <xf numFmtId="3" fontId="41" fillId="32" borderId="14" xfId="59" applyNumberFormat="1" applyFont="1" applyFill="1" applyBorder="1" applyAlignment="1" applyProtection="1">
      <alignment horizontal="justify" vertical="center" wrapText="1"/>
      <protection/>
    </xf>
    <xf numFmtId="180" fontId="29" fillId="0" borderId="14" xfId="59" applyNumberFormat="1" applyFont="1" applyFill="1" applyBorder="1" applyAlignment="1" applyProtection="1">
      <alignment horizontal="right" vertical="center" wrapText="1"/>
      <protection/>
    </xf>
    <xf numFmtId="180" fontId="41" fillId="0" borderId="14" xfId="59" applyNumberFormat="1" applyFont="1" applyFill="1" applyBorder="1" applyAlignment="1" applyProtection="1">
      <alignment horizontal="right" vertical="center" wrapText="1"/>
      <protection/>
    </xf>
    <xf numFmtId="9" fontId="27" fillId="0" borderId="33" xfId="61" applyFont="1" applyFill="1" applyBorder="1" applyAlignment="1" applyProtection="1">
      <alignment horizontal="right" vertical="center" wrapText="1"/>
      <protection locked="0"/>
    </xf>
    <xf numFmtId="9" fontId="27" fillId="0" borderId="14" xfId="61" applyFont="1" applyFill="1" applyBorder="1" applyAlignment="1" applyProtection="1">
      <alignment horizontal="right" vertical="center" wrapText="1"/>
      <protection locked="0"/>
    </xf>
    <xf numFmtId="0" fontId="52" fillId="0" borderId="0" xfId="0" applyFont="1" applyBorder="1" applyAlignment="1">
      <alignment horizontal="center" wrapText="1"/>
    </xf>
    <xf numFmtId="0" fontId="7" fillId="0" borderId="35" xfId="0" applyFont="1" applyBorder="1" applyAlignment="1">
      <alignment horizontal="left"/>
    </xf>
    <xf numFmtId="0" fontId="7" fillId="0" borderId="36" xfId="0" applyFont="1" applyBorder="1" applyAlignment="1">
      <alignment horizontal="left"/>
    </xf>
    <xf numFmtId="0" fontId="7" fillId="0" borderId="37" xfId="0" applyFont="1" applyBorder="1" applyAlignment="1">
      <alignment horizontal="left"/>
    </xf>
    <xf numFmtId="0" fontId="7" fillId="0" borderId="0" xfId="0" applyFont="1" applyAlignment="1">
      <alignment horizontal="left"/>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16" fillId="0" borderId="0" xfId="0" applyFont="1" applyAlignment="1">
      <alignment horizontal="justify" vertical="center" wrapText="1"/>
    </xf>
    <xf numFmtId="0" fontId="4" fillId="0" borderId="0" xfId="0" applyFont="1" applyAlignment="1">
      <alignment horizontal="justify" vertical="center" wrapText="1"/>
    </xf>
    <xf numFmtId="0" fontId="4" fillId="0" borderId="0" xfId="0" applyFont="1" applyBorder="1" applyAlignment="1">
      <alignment horizontal="justify" vertical="center" wrapText="1"/>
    </xf>
    <xf numFmtId="0" fontId="21" fillId="0" borderId="0" xfId="0" applyFont="1" applyBorder="1" applyAlignment="1">
      <alignment horizontal="justify" vertical="top" wrapText="1"/>
    </xf>
    <xf numFmtId="0" fontId="4" fillId="0" borderId="23" xfId="0" applyFont="1" applyBorder="1" applyAlignment="1">
      <alignment horizontal="justify" vertical="center" wrapText="1"/>
    </xf>
    <xf numFmtId="0" fontId="4" fillId="0" borderId="24" xfId="0" applyFont="1" applyBorder="1" applyAlignment="1">
      <alignment horizontal="justify" vertical="center" wrapText="1"/>
    </xf>
    <xf numFmtId="0" fontId="0" fillId="0" borderId="0" xfId="0" applyAlignment="1">
      <alignment horizontal="center"/>
    </xf>
    <xf numFmtId="0" fontId="14" fillId="45" borderId="0" xfId="0" applyFont="1" applyFill="1" applyAlignment="1">
      <alignment horizontal="justify" vertical="center" wrapText="1"/>
    </xf>
    <xf numFmtId="0" fontId="4" fillId="0" borderId="23" xfId="0" applyFont="1" applyBorder="1" applyAlignment="1">
      <alignment horizontal="justify" vertical="top" wrapText="1"/>
    </xf>
    <xf numFmtId="0" fontId="4" fillId="0" borderId="0" xfId="0" applyFont="1" applyBorder="1" applyAlignment="1">
      <alignment horizontal="justify" vertical="top" wrapText="1"/>
    </xf>
    <xf numFmtId="0" fontId="4" fillId="0" borderId="24" xfId="0" applyFont="1" applyBorder="1" applyAlignment="1">
      <alignment horizontal="justify" vertical="top" wrapText="1"/>
    </xf>
    <xf numFmtId="0" fontId="0" fillId="0" borderId="23" xfId="0" applyBorder="1" applyAlignment="1">
      <alignment horizontal="justify" vertical="top" wrapText="1"/>
    </xf>
    <xf numFmtId="0" fontId="0" fillId="0" borderId="0" xfId="0" applyBorder="1" applyAlignment="1">
      <alignment horizontal="justify" vertical="top" wrapText="1"/>
    </xf>
    <xf numFmtId="0" fontId="0" fillId="0" borderId="24" xfId="0" applyBorder="1" applyAlignment="1">
      <alignment horizontal="justify" vertical="top" wrapText="1"/>
    </xf>
    <xf numFmtId="0" fontId="0" fillId="0" borderId="38" xfId="0" applyBorder="1" applyAlignment="1">
      <alignment horizontal="justify" vertical="top" wrapText="1"/>
    </xf>
    <xf numFmtId="0" fontId="0" fillId="0" borderId="39" xfId="0" applyBorder="1" applyAlignment="1">
      <alignment horizontal="justify" vertical="top" wrapText="1"/>
    </xf>
    <xf numFmtId="0" fontId="0" fillId="0" borderId="40" xfId="0" applyBorder="1" applyAlignment="1">
      <alignment horizontal="justify" vertical="top" wrapText="1"/>
    </xf>
    <xf numFmtId="0" fontId="0" fillId="0" borderId="0" xfId="0" applyBorder="1" applyAlignment="1">
      <alignment horizontal="justify" vertical="center" wrapText="1"/>
    </xf>
    <xf numFmtId="0" fontId="6" fillId="0" borderId="0" xfId="0" applyFont="1" applyBorder="1" applyAlignment="1">
      <alignment horizontal="center" vertical="center"/>
    </xf>
    <xf numFmtId="0" fontId="0" fillId="0" borderId="14" xfId="0" applyBorder="1" applyAlignment="1">
      <alignment horizontal="lef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9" fillId="0" borderId="14" xfId="0" applyFont="1" applyBorder="1" applyAlignment="1">
      <alignment horizontal="center"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0" xfId="0" applyAlignment="1">
      <alignment horizontal="justify" vertical="center" wrapText="1"/>
    </xf>
    <xf numFmtId="0" fontId="22" fillId="0" borderId="0" xfId="0" applyFont="1" applyBorder="1" applyAlignment="1">
      <alignment horizontal="justify" vertical="center" wrapText="1"/>
    </xf>
    <xf numFmtId="0" fontId="22" fillId="0" borderId="27" xfId="0" applyFont="1" applyBorder="1" applyAlignment="1">
      <alignment horizontal="justify" vertical="center" wrapText="1"/>
    </xf>
    <xf numFmtId="0" fontId="18" fillId="0" borderId="0" xfId="0" applyFont="1" applyAlignment="1">
      <alignment horizontal="center"/>
    </xf>
    <xf numFmtId="0" fontId="27" fillId="0" borderId="25" xfId="0" applyFont="1" applyBorder="1" applyAlignment="1">
      <alignment horizontal="justify" vertical="center" wrapText="1"/>
    </xf>
    <xf numFmtId="0" fontId="27" fillId="0" borderId="13" xfId="0" applyFont="1" applyBorder="1" applyAlignment="1">
      <alignment horizontal="justify" vertical="center" wrapText="1"/>
    </xf>
    <xf numFmtId="0" fontId="27" fillId="0" borderId="25"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29" xfId="0" applyFont="1" applyBorder="1" applyAlignment="1">
      <alignment horizontal="justify" vertical="center" wrapText="1"/>
    </xf>
    <xf numFmtId="0" fontId="27" fillId="0" borderId="31" xfId="0" applyFont="1" applyBorder="1" applyAlignment="1">
      <alignment horizontal="justify" vertical="center" wrapText="1"/>
    </xf>
    <xf numFmtId="0" fontId="29" fillId="0" borderId="14" xfId="0" applyFont="1" applyBorder="1" applyAlignment="1">
      <alignment horizontal="justify" vertical="center" wrapText="1"/>
    </xf>
    <xf numFmtId="0" fontId="27" fillId="0" borderId="14" xfId="59" applyFont="1" applyFill="1" applyBorder="1" applyAlignment="1" applyProtection="1">
      <alignment horizontal="justify" vertical="center" wrapText="1"/>
      <protection/>
    </xf>
    <xf numFmtId="0" fontId="27" fillId="0" borderId="25" xfId="59" applyFont="1" applyFill="1" applyBorder="1" applyAlignment="1" applyProtection="1">
      <alignment horizontal="justify" vertical="center" wrapText="1"/>
      <protection/>
    </xf>
    <xf numFmtId="0" fontId="27" fillId="0" borderId="13" xfId="59" applyFont="1" applyFill="1" applyBorder="1" applyAlignment="1" applyProtection="1">
      <alignment horizontal="justify" vertical="center" wrapText="1"/>
      <protection/>
    </xf>
    <xf numFmtId="0" fontId="3" fillId="32" borderId="14" xfId="0" applyFont="1" applyFill="1" applyBorder="1" applyAlignment="1">
      <alignment horizontal="justify" vertical="center" wrapText="1"/>
    </xf>
    <xf numFmtId="0" fontId="27" fillId="0" borderId="13" xfId="59" applyFont="1" applyFill="1" applyBorder="1" applyAlignment="1" applyProtection="1">
      <alignment horizontal="center" vertical="center" wrapText="1"/>
      <protection/>
    </xf>
    <xf numFmtId="0" fontId="27" fillId="0" borderId="14" xfId="59" applyFont="1" applyFill="1" applyBorder="1" applyAlignment="1" applyProtection="1">
      <alignment horizontal="center" vertical="center" wrapText="1"/>
      <protection/>
    </xf>
    <xf numFmtId="0" fontId="27" fillId="0" borderId="41" xfId="59" applyFont="1" applyFill="1" applyBorder="1" applyAlignment="1" applyProtection="1">
      <alignment horizontal="center" vertical="center" wrapText="1"/>
      <protection/>
    </xf>
    <xf numFmtId="0" fontId="27" fillId="0" borderId="41" xfId="59" applyFont="1" applyFill="1" applyBorder="1" applyAlignment="1" applyProtection="1">
      <alignment horizontal="justify" vertical="center" wrapText="1"/>
      <protection/>
    </xf>
    <xf numFmtId="3" fontId="27" fillId="0" borderId="14" xfId="59" applyNumberFormat="1" applyFont="1" applyFill="1" applyBorder="1" applyAlignment="1" applyProtection="1">
      <alignment horizontal="justify" vertical="center" wrapText="1"/>
      <protection/>
    </xf>
    <xf numFmtId="0" fontId="27" fillId="0" borderId="25" xfId="59" applyFont="1" applyFill="1" applyBorder="1" applyAlignment="1" applyProtection="1">
      <alignment horizontal="center" vertical="center" wrapText="1"/>
      <protection/>
    </xf>
    <xf numFmtId="0" fontId="0" fillId="0" borderId="25" xfId="0" applyBorder="1" applyAlignment="1">
      <alignment horizontal="justify" vertical="center" wrapText="1"/>
    </xf>
    <xf numFmtId="0" fontId="0" fillId="0" borderId="13" xfId="0" applyBorder="1" applyAlignment="1">
      <alignment horizontal="justify" vertical="center" wrapText="1"/>
    </xf>
    <xf numFmtId="3" fontId="26" fillId="34" borderId="14" xfId="59" applyNumberFormat="1" applyFont="1" applyFill="1" applyBorder="1" applyAlignment="1" applyProtection="1">
      <alignment horizontal="center" vertical="center" wrapText="1"/>
      <protection/>
    </xf>
    <xf numFmtId="3" fontId="26" fillId="34" borderId="25" xfId="59" applyNumberFormat="1" applyFont="1" applyFill="1" applyBorder="1" applyAlignment="1" applyProtection="1">
      <alignment horizontal="center" vertical="center" wrapText="1"/>
      <protection/>
    </xf>
    <xf numFmtId="3" fontId="26" fillId="34" borderId="13" xfId="59" applyNumberFormat="1" applyFont="1" applyFill="1" applyBorder="1" applyAlignment="1" applyProtection="1">
      <alignment horizontal="center" vertical="center" wrapText="1"/>
      <protection/>
    </xf>
    <xf numFmtId="3" fontId="54" fillId="46" borderId="14" xfId="59" applyNumberFormat="1" applyFont="1" applyFill="1" applyBorder="1" applyAlignment="1" applyProtection="1">
      <alignment horizontal="center" vertical="center"/>
      <protection/>
    </xf>
    <xf numFmtId="3" fontId="54" fillId="5" borderId="18" xfId="59" applyNumberFormat="1" applyFont="1" applyFill="1" applyBorder="1" applyAlignment="1" applyProtection="1">
      <alignment horizontal="center" vertical="center"/>
      <protection/>
    </xf>
    <xf numFmtId="3" fontId="54" fillId="5" borderId="17" xfId="59" applyNumberFormat="1" applyFont="1" applyFill="1" applyBorder="1" applyAlignment="1" applyProtection="1">
      <alignment horizontal="center" vertical="center"/>
      <protection/>
    </xf>
    <xf numFmtId="3" fontId="26" fillId="34" borderId="29" xfId="59" applyNumberFormat="1" applyFont="1" applyFill="1" applyBorder="1" applyAlignment="1" applyProtection="1">
      <alignment horizontal="center" vertical="center" wrapText="1"/>
      <protection/>
    </xf>
    <xf numFmtId="3" fontId="26" fillId="34" borderId="31" xfId="59" applyNumberFormat="1" applyFont="1" applyFill="1" applyBorder="1" applyAlignment="1" applyProtection="1">
      <alignment horizontal="center" vertical="center" wrapText="1"/>
      <protection/>
    </xf>
    <xf numFmtId="3" fontId="26" fillId="34" borderId="17" xfId="59" applyNumberFormat="1" applyFont="1" applyFill="1" applyBorder="1" applyAlignment="1" applyProtection="1">
      <alignment horizontal="center" vertical="center" wrapText="1"/>
      <protection/>
    </xf>
    <xf numFmtId="3" fontId="26" fillId="34" borderId="19" xfId="59" applyNumberFormat="1" applyFont="1" applyFill="1" applyBorder="1" applyAlignment="1" applyProtection="1">
      <alignment horizontal="center" vertical="center" wrapText="1"/>
      <protection/>
    </xf>
    <xf numFmtId="3" fontId="54" fillId="33" borderId="14" xfId="59" applyNumberFormat="1" applyFont="1" applyFill="1" applyBorder="1" applyAlignment="1" applyProtection="1">
      <alignment horizontal="center" vertical="center"/>
      <protection/>
    </xf>
    <xf numFmtId="3" fontId="27" fillId="0" borderId="25" xfId="59" applyNumberFormat="1" applyFont="1" applyFill="1" applyBorder="1" applyAlignment="1" applyProtection="1">
      <alignment horizontal="right" vertical="center" wrapText="1"/>
      <protection/>
    </xf>
    <xf numFmtId="3" fontId="27" fillId="0" borderId="13" xfId="59" applyNumberFormat="1" applyFont="1" applyFill="1" applyBorder="1" applyAlignment="1" applyProtection="1">
      <alignment horizontal="right" vertical="center" wrapText="1"/>
      <protection/>
    </xf>
    <xf numFmtId="0" fontId="35" fillId="0" borderId="0" xfId="59" applyFont="1" applyBorder="1" applyAlignment="1" applyProtection="1">
      <alignment horizontal="center" vertical="top"/>
      <protection/>
    </xf>
    <xf numFmtId="0" fontId="27" fillId="0" borderId="14" xfId="59" applyFont="1" applyFill="1" applyBorder="1" applyAlignment="1" applyProtection="1">
      <alignment horizontal="left" vertical="center" wrapText="1"/>
      <protection/>
    </xf>
    <xf numFmtId="3" fontId="27" fillId="0" borderId="14" xfId="59" applyNumberFormat="1" applyFont="1" applyFill="1" applyBorder="1" applyAlignment="1" applyProtection="1">
      <alignment horizontal="right" vertical="center" wrapText="1"/>
      <protection/>
    </xf>
    <xf numFmtId="3" fontId="28" fillId="46" borderId="18" xfId="59" applyNumberFormat="1" applyFont="1" applyFill="1" applyBorder="1" applyAlignment="1" applyProtection="1">
      <alignment horizontal="center" vertical="center"/>
      <protection/>
    </xf>
    <xf numFmtId="3" fontId="28" fillId="46" borderId="17" xfId="59" applyNumberFormat="1" applyFont="1" applyFill="1" applyBorder="1" applyAlignment="1" applyProtection="1">
      <alignment horizontal="center" vertical="center"/>
      <protection/>
    </xf>
    <xf numFmtId="3" fontId="28" fillId="47" borderId="18" xfId="59" applyNumberFormat="1" applyFont="1" applyFill="1" applyBorder="1" applyAlignment="1" applyProtection="1">
      <alignment horizontal="center" vertical="center"/>
      <protection/>
    </xf>
    <xf numFmtId="3" fontId="28" fillId="47" borderId="17" xfId="59" applyNumberFormat="1" applyFont="1" applyFill="1" applyBorder="1" applyAlignment="1" applyProtection="1">
      <alignment horizontal="center" vertical="center"/>
      <protection/>
    </xf>
    <xf numFmtId="3" fontId="28" fillId="48" borderId="29" xfId="0" applyNumberFormat="1" applyFont="1" applyFill="1" applyBorder="1" applyAlignment="1" applyProtection="1">
      <alignment horizontal="center" vertical="center" wrapText="1"/>
      <protection/>
    </xf>
    <xf numFmtId="3" fontId="28" fillId="48" borderId="27" xfId="0" applyNumberFormat="1" applyFont="1" applyFill="1" applyBorder="1" applyAlignment="1" applyProtection="1">
      <alignment horizontal="center" vertical="center" wrapText="1"/>
      <protection/>
    </xf>
    <xf numFmtId="3" fontId="27" fillId="0" borderId="14" xfId="59" applyNumberFormat="1" applyFont="1" applyFill="1" applyBorder="1" applyAlignment="1" applyProtection="1">
      <alignment horizontal="left" vertical="center" wrapText="1"/>
      <protection/>
    </xf>
    <xf numFmtId="180" fontId="27" fillId="0" borderId="14" xfId="59" applyNumberFormat="1" applyFont="1" applyFill="1" applyBorder="1" applyAlignment="1" applyProtection="1">
      <alignment vertical="center" wrapText="1"/>
      <protection/>
    </xf>
    <xf numFmtId="0" fontId="27" fillId="0" borderId="14" xfId="59" applyFont="1" applyFill="1" applyBorder="1" applyAlignment="1" applyProtection="1">
      <alignment vertical="center" wrapText="1"/>
      <protection/>
    </xf>
    <xf numFmtId="3" fontId="26" fillId="34" borderId="14" xfId="59" applyNumberFormat="1" applyFont="1" applyFill="1" applyBorder="1" applyAlignment="1" applyProtection="1">
      <alignment horizontal="left" vertical="center" wrapText="1"/>
      <protection/>
    </xf>
    <xf numFmtId="0" fontId="26" fillId="0" borderId="14" xfId="59" applyFont="1" applyFill="1" applyBorder="1" applyAlignment="1" applyProtection="1">
      <alignment horizontal="left" vertical="center" wrapText="1"/>
      <protection/>
    </xf>
    <xf numFmtId="3" fontId="28" fillId="49" borderId="16" xfId="0" applyNumberFormat="1" applyFont="1" applyFill="1" applyBorder="1" applyAlignment="1" applyProtection="1">
      <alignment horizontal="center" vertical="center" wrapText="1"/>
      <protection/>
    </xf>
    <xf numFmtId="3" fontId="26" fillId="34" borderId="18" xfId="59" applyNumberFormat="1" applyFont="1" applyFill="1" applyBorder="1" applyAlignment="1" applyProtection="1">
      <alignment horizontal="left" vertical="center" wrapText="1"/>
      <protection/>
    </xf>
    <xf numFmtId="3" fontId="26" fillId="34" borderId="17" xfId="59" applyNumberFormat="1" applyFont="1" applyFill="1" applyBorder="1" applyAlignment="1" applyProtection="1">
      <alignment horizontal="left" vertical="center" wrapText="1"/>
      <protection/>
    </xf>
    <xf numFmtId="3" fontId="26" fillId="34" borderId="19" xfId="59" applyNumberFormat="1" applyFont="1" applyFill="1" applyBorder="1" applyAlignment="1" applyProtection="1">
      <alignment horizontal="left" vertical="center"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3" xfId="52"/>
    <cellStyle name="Currency" xfId="53"/>
    <cellStyle name="Currency [0]" xfId="54"/>
    <cellStyle name="Neutral" xfId="55"/>
    <cellStyle name="Normal 3" xfId="56"/>
    <cellStyle name="Normal_Hoja1" xfId="57"/>
    <cellStyle name="Normal_Información Infancia y Adolescencia Presupuesto 2009 SED -Oct-24-2008 (2) MODIFICADO aLEJO" xfId="58"/>
    <cellStyle name="Normal_Informe  infancia y adolescencia 3trim VERSIÓN OCTUBRE 29" xfId="59"/>
    <cellStyle name="Notas" xfId="60"/>
    <cellStyle name="Percent" xfId="61"/>
    <cellStyle name="Porcentual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1. Instructivo Diligenciamiento'!A1" /><Relationship Id="rId3" Type="http://schemas.openxmlformats.org/officeDocument/2006/relationships/hyperlink" Target="#'2. Proyecciones NNA_2010'!A1" /><Relationship Id="rId4" Type="http://schemas.openxmlformats.org/officeDocument/2006/relationships/hyperlink" Target="#'4. Presupuesto rv'!A1" /><Relationship Id="rId5" Type="http://schemas.openxmlformats.org/officeDocument/2006/relationships/hyperlink" Target="#'3. Gesti&#243;n'!A1" /><Relationship Id="rId6" Type="http://schemas.openxmlformats.org/officeDocument/2006/relationships/hyperlink" Target="#'Pag inicio'!A1" /><Relationship Id="rId7"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hyperlink" Target="#'Pag inicio'!A1"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hyperlink" Target="#'Pag inicio'!A1"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hyperlink" Target="#'Pag inicio'!A1" /><Relationship Id="rId2" Type="http://schemas.openxmlformats.org/officeDocument/2006/relationships/image" Target="../media/image2.png" /><Relationship Id="rId3" Type="http://schemas.openxmlformats.org/officeDocument/2006/relationships/hyperlink" Target="#'3. Gesti&#243;n'!A9" /><Relationship Id="rId4" Type="http://schemas.openxmlformats.org/officeDocument/2006/relationships/hyperlink" Target="#'3. Gesti&#243;n'!A24" /><Relationship Id="rId5" Type="http://schemas.openxmlformats.org/officeDocument/2006/relationships/hyperlink" Target="#'3. Gesti&#243;n'!A58" /><Relationship Id="rId6" Type="http://schemas.openxmlformats.org/officeDocument/2006/relationships/hyperlink" Target="#'3. Gesti&#243;n'!A78" /><Relationship Id="rId7" Type="http://schemas.openxmlformats.org/officeDocument/2006/relationships/hyperlink" Target="#'3. Gesti&#243;n'!A117" /><Relationship Id="rId8" Type="http://schemas.openxmlformats.org/officeDocument/2006/relationships/hyperlink" Target="#'3. Gesti&#243;n'!A123" /><Relationship Id="rId9" Type="http://schemas.openxmlformats.org/officeDocument/2006/relationships/hyperlink" Target="#'3. Gesti&#243;n'!A136" /></Relationships>
</file>

<file path=xl/drawings/_rels/drawing5.xml.rels><?xml version="1.0" encoding="utf-8" standalone="yes"?><Relationships xmlns="http://schemas.openxmlformats.org/package/2006/relationships"><Relationship Id="rId1" Type="http://schemas.openxmlformats.org/officeDocument/2006/relationships/hyperlink" Target="#'4. Presupuesto rv'!B6" /><Relationship Id="rId2" Type="http://schemas.openxmlformats.org/officeDocument/2006/relationships/hyperlink" Target="#'4. Presupuesto rv'!B68" /><Relationship Id="rId3" Type="http://schemas.openxmlformats.org/officeDocument/2006/relationships/hyperlink" Target="#'4. Presupuesto rv'!B22" /><Relationship Id="rId4" Type="http://schemas.openxmlformats.org/officeDocument/2006/relationships/hyperlink" Target="#'4. Presupuesto rv'!B119" /><Relationship Id="rId5" Type="http://schemas.openxmlformats.org/officeDocument/2006/relationships/hyperlink" Target="#'4. Presupuesto rv'!B151" /><Relationship Id="rId6" Type="http://schemas.openxmlformats.org/officeDocument/2006/relationships/hyperlink" Target="#'4. Presupuesto rv'!B168" /><Relationship Id="rId7" Type="http://schemas.openxmlformats.org/officeDocument/2006/relationships/hyperlink" Target="#'4. Presupuesto rv'!B173" /><Relationship Id="rId8" Type="http://schemas.openxmlformats.org/officeDocument/2006/relationships/hyperlink" Target="#'4. Presupuesto rv'!B147" /><Relationship Id="rId9" Type="http://schemas.openxmlformats.org/officeDocument/2006/relationships/hyperlink" Target="#'1. Instructivo Diligenciamiento'!Q6" /><Relationship Id="rId10" Type="http://schemas.openxmlformats.org/officeDocument/2006/relationships/hyperlink" Target="#'Pag inicio'!A1" /><Relationship Id="rId1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16</xdr:row>
      <xdr:rowOff>47625</xdr:rowOff>
    </xdr:from>
    <xdr:to>
      <xdr:col>10</xdr:col>
      <xdr:colOff>38100</xdr:colOff>
      <xdr:row>20</xdr:row>
      <xdr:rowOff>114300</xdr:rowOff>
    </xdr:to>
    <xdr:sp>
      <xdr:nvSpPr>
        <xdr:cNvPr id="1" name="Text Box 1"/>
        <xdr:cNvSpPr txBox="1">
          <a:spLocks noChangeArrowheads="1"/>
        </xdr:cNvSpPr>
      </xdr:nvSpPr>
      <xdr:spPr>
        <a:xfrm>
          <a:off x="3943350" y="3286125"/>
          <a:ext cx="3714750" cy="828675"/>
        </a:xfrm>
        <a:prstGeom prst="rect">
          <a:avLst/>
        </a:prstGeom>
        <a:solidFill>
          <a:srgbClr val="EAEAEA"/>
        </a:solidFill>
        <a:ln w="9525" cmpd="sng">
          <a:noFill/>
        </a:ln>
      </xdr:spPr>
      <xdr:txBody>
        <a:bodyPr vertOverflow="clip" wrap="square" lIns="27432" tIns="27432" rIns="27432" bIns="0"/>
        <a:p>
          <a:pPr algn="ctr">
            <a:defRPr/>
          </a:pPr>
          <a:r>
            <a:rPr lang="en-US" cap="none" sz="1100" b="1" i="0" u="none" baseline="0">
              <a:solidFill>
                <a:srgbClr val="0000FF"/>
              </a:solidFill>
              <a:latin typeface="Calibri"/>
              <a:ea typeface="Calibri"/>
              <a:cs typeface="Calibri"/>
            </a:rPr>
            <a:t>PARA DILIGENCIAR</a:t>
          </a:r>
        </a:p>
      </xdr:txBody>
    </xdr:sp>
    <xdr:clientData/>
  </xdr:twoCellAnchor>
  <xdr:twoCellAnchor>
    <xdr:from>
      <xdr:col>0</xdr:col>
      <xdr:colOff>180975</xdr:colOff>
      <xdr:row>16</xdr:row>
      <xdr:rowOff>47625</xdr:rowOff>
    </xdr:from>
    <xdr:to>
      <xdr:col>5</xdr:col>
      <xdr:colOff>19050</xdr:colOff>
      <xdr:row>20</xdr:row>
      <xdr:rowOff>114300</xdr:rowOff>
    </xdr:to>
    <xdr:sp>
      <xdr:nvSpPr>
        <xdr:cNvPr id="2" name="Text Box 2"/>
        <xdr:cNvSpPr txBox="1">
          <a:spLocks noChangeArrowheads="1"/>
        </xdr:cNvSpPr>
      </xdr:nvSpPr>
      <xdr:spPr>
        <a:xfrm>
          <a:off x="180975" y="3286125"/>
          <a:ext cx="3648075" cy="828675"/>
        </a:xfrm>
        <a:prstGeom prst="rect">
          <a:avLst/>
        </a:prstGeom>
        <a:solidFill>
          <a:srgbClr val="EAEAEA"/>
        </a:solidFill>
        <a:ln w="9525" cmpd="sng">
          <a:noFill/>
        </a:ln>
      </xdr:spPr>
      <xdr:txBody>
        <a:bodyPr vertOverflow="clip" wrap="square" lIns="27432" tIns="27432" rIns="27432" bIns="0"/>
        <a:p>
          <a:pPr algn="ctr">
            <a:defRPr/>
          </a:pPr>
          <a:r>
            <a:rPr lang="en-US" cap="none" sz="1100" b="1" i="0" u="none" baseline="0">
              <a:solidFill>
                <a:srgbClr val="0000FF"/>
              </a:solidFill>
              <a:latin typeface="Calibri"/>
              <a:ea typeface="Calibri"/>
              <a:cs typeface="Calibri"/>
            </a:rPr>
            <a:t>INFORMATIVOS</a:t>
          </a:r>
        </a:p>
      </xdr:txBody>
    </xdr:sp>
    <xdr:clientData/>
  </xdr:twoCellAnchor>
  <xdr:twoCellAnchor>
    <xdr:from>
      <xdr:col>4</xdr:col>
      <xdr:colOff>104775</xdr:colOff>
      <xdr:row>0</xdr:row>
      <xdr:rowOff>0</xdr:rowOff>
    </xdr:from>
    <xdr:to>
      <xdr:col>5</xdr:col>
      <xdr:colOff>266700</xdr:colOff>
      <xdr:row>4</xdr:row>
      <xdr:rowOff>142875</xdr:rowOff>
    </xdr:to>
    <xdr:pic>
      <xdr:nvPicPr>
        <xdr:cNvPr id="3" name="Picture 9"/>
        <xdr:cNvPicPr preferRelativeResize="1">
          <a:picLocks noChangeAspect="1"/>
        </xdr:cNvPicPr>
      </xdr:nvPicPr>
      <xdr:blipFill>
        <a:blip r:embed="rId1"/>
        <a:stretch>
          <a:fillRect/>
        </a:stretch>
      </xdr:blipFill>
      <xdr:spPr>
        <a:xfrm>
          <a:off x="3152775" y="0"/>
          <a:ext cx="923925" cy="904875"/>
        </a:xfrm>
        <a:prstGeom prst="rect">
          <a:avLst/>
        </a:prstGeom>
        <a:noFill/>
        <a:ln w="9525" cmpd="sng">
          <a:noFill/>
        </a:ln>
      </xdr:spPr>
    </xdr:pic>
    <xdr:clientData/>
  </xdr:twoCellAnchor>
  <xdr:oneCellAnchor>
    <xdr:from>
      <xdr:col>0</xdr:col>
      <xdr:colOff>38100</xdr:colOff>
      <xdr:row>6</xdr:row>
      <xdr:rowOff>95250</xdr:rowOff>
    </xdr:from>
    <xdr:ext cx="7581900" cy="1819275"/>
    <xdr:sp>
      <xdr:nvSpPr>
        <xdr:cNvPr id="4" name="Text Box 4"/>
        <xdr:cNvSpPr txBox="1">
          <a:spLocks noChangeArrowheads="1"/>
        </xdr:cNvSpPr>
      </xdr:nvSpPr>
      <xdr:spPr>
        <a:xfrm>
          <a:off x="38100" y="1428750"/>
          <a:ext cx="7581900" cy="1819275"/>
        </a:xfrm>
        <a:prstGeom prst="rect">
          <a:avLst/>
        </a:prstGeom>
        <a:noFill/>
        <a:ln w="9525" cmpd="sng">
          <a:noFill/>
        </a:ln>
      </xdr:spPr>
      <xdr:txBody>
        <a:bodyPr vertOverflow="clip" wrap="square" lIns="27432" tIns="27432" rIns="27432" bIns="0"/>
        <a:p>
          <a:pPr algn="just">
            <a:defRPr/>
          </a:pPr>
          <a:r>
            <a:rPr lang="en-US" cap="none" sz="1100" b="0" i="0" u="none" baseline="0">
              <a:solidFill>
                <a:srgbClr val="000000"/>
              </a:solidFill>
              <a:latin typeface="Calibri"/>
              <a:ea typeface="Calibri"/>
              <a:cs typeface="Calibri"/>
            </a:rPr>
            <a:t>En cumplimiento del artículo 49 del Decreto 560 del 22 de diciembre de 2009, correspondiente a la ATENCIÓN INFANCIA Y ADOLESCENCIA: “… </a:t>
          </a:r>
          <a:r>
            <a:rPr lang="en-US" cap="none" sz="1100" b="0" i="1" u="none" baseline="0">
              <a:solidFill>
                <a:srgbClr val="000000"/>
              </a:solidFill>
              <a:latin typeface="Calibri"/>
              <a:ea typeface="Calibri"/>
              <a:cs typeface="Calibri"/>
            </a:rPr>
            <a:t>cada entidad responsable de la atención deberá reportar con una periodicidad trimestral la información cuantitativa y cualitativa relacionada con el avance y cumplimiento de las acciones previstas en el Artículo 34 del Acuerdo 308 de 2008, de manera consistente y oportuna, discriminando claramente la población beneficiada. </a:t>
          </a:r>
          <a:r>
            <a:rPr lang="en-US" cap="none" sz="1100" b="1" i="1" u="sng" baseline="0">
              <a:solidFill>
                <a:srgbClr val="000000"/>
              </a:solidFill>
              <a:latin typeface="Calibri"/>
              <a:ea typeface="Calibri"/>
              <a:cs typeface="Calibri"/>
            </a:rPr>
            <a:t>Dicha información deberá ser enviada a más tardar el 15 del mes siguiente al trimestre</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reportado y así sucesivamente, a las Secretarías Distritales de Planeación y Hacienda, entidades responsables de su consolidación. Copia del informe consolidado se enviará al Concejo Distrital.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 el fin de dar cumplimiento a los requerimientos de información, es necesario tener en cuenta los siguientes link: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editAs="absolute">
    <xdr:from>
      <xdr:col>0</xdr:col>
      <xdr:colOff>457200</xdr:colOff>
      <xdr:row>17</xdr:row>
      <xdr:rowOff>180975</xdr:rowOff>
    </xdr:from>
    <xdr:to>
      <xdr:col>2</xdr:col>
      <xdr:colOff>352425</xdr:colOff>
      <xdr:row>20</xdr:row>
      <xdr:rowOff>19050</xdr:rowOff>
    </xdr:to>
    <xdr:sp>
      <xdr:nvSpPr>
        <xdr:cNvPr id="5" name="Rectangle 3">
          <a:hlinkClick r:id="rId2"/>
        </xdr:cNvPr>
        <xdr:cNvSpPr>
          <a:spLocks/>
        </xdr:cNvSpPr>
      </xdr:nvSpPr>
      <xdr:spPr>
        <a:xfrm>
          <a:off x="457200" y="3609975"/>
          <a:ext cx="1419225" cy="409575"/>
        </a:xfrm>
        <a:prstGeom prst="rect">
          <a:avLst/>
        </a:prstGeom>
        <a:solidFill>
          <a:srgbClr val="C0C0C0"/>
        </a:solidFill>
        <a:ln w="9525" cmpd="sng">
          <a:noFill/>
        </a:ln>
      </xdr:spPr>
      <xdr:txBody>
        <a:bodyPr vertOverflow="clip" wrap="square" lIns="27432" tIns="22860" rIns="27432" bIns="22860" anchor="ctr"/>
        <a:p>
          <a:pPr algn="ctr">
            <a:defRPr/>
          </a:pPr>
          <a:r>
            <a:rPr lang="en-US" cap="none" sz="1000" b="1" i="0" u="sng" baseline="0">
              <a:solidFill>
                <a:srgbClr val="0000FF"/>
              </a:solidFill>
            </a:rPr>
            <a:t>1. INSTRUCTIVO DE DILIGENCIAMIENTO</a:t>
          </a:r>
        </a:p>
      </xdr:txBody>
    </xdr:sp>
    <xdr:clientData/>
  </xdr:twoCellAnchor>
  <xdr:twoCellAnchor editAs="absolute">
    <xdr:from>
      <xdr:col>2</xdr:col>
      <xdr:colOff>619125</xdr:colOff>
      <xdr:row>17</xdr:row>
      <xdr:rowOff>171450</xdr:rowOff>
    </xdr:from>
    <xdr:to>
      <xdr:col>4</xdr:col>
      <xdr:colOff>476250</xdr:colOff>
      <xdr:row>20</xdr:row>
      <xdr:rowOff>9525</xdr:rowOff>
    </xdr:to>
    <xdr:sp>
      <xdr:nvSpPr>
        <xdr:cNvPr id="6" name="Rectangle 3">
          <a:hlinkClick r:id="rId3"/>
        </xdr:cNvPr>
        <xdr:cNvSpPr>
          <a:spLocks/>
        </xdr:cNvSpPr>
      </xdr:nvSpPr>
      <xdr:spPr>
        <a:xfrm>
          <a:off x="2143125" y="3600450"/>
          <a:ext cx="1381125" cy="409575"/>
        </a:xfrm>
        <a:prstGeom prst="rect">
          <a:avLst/>
        </a:prstGeom>
        <a:solidFill>
          <a:srgbClr val="C0C0C0"/>
        </a:solidFill>
        <a:ln w="9525" cmpd="sng">
          <a:noFill/>
        </a:ln>
      </xdr:spPr>
      <xdr:txBody>
        <a:bodyPr vertOverflow="clip" wrap="square" lIns="27432" tIns="22860" rIns="27432" bIns="22860" anchor="ctr"/>
        <a:p>
          <a:pPr algn="ctr">
            <a:defRPr/>
          </a:pPr>
          <a:r>
            <a:rPr lang="en-US" cap="none" sz="1000" b="1" i="0" u="sng" baseline="0">
              <a:solidFill>
                <a:srgbClr val="0000FF"/>
              </a:solidFill>
            </a:rPr>
            <a:t>2. PROYECCIONES DE NNA 2010</a:t>
          </a:r>
        </a:p>
      </xdr:txBody>
    </xdr:sp>
    <xdr:clientData/>
  </xdr:twoCellAnchor>
  <xdr:twoCellAnchor editAs="absolute">
    <xdr:from>
      <xdr:col>7</xdr:col>
      <xdr:colOff>561975</xdr:colOff>
      <xdr:row>17</xdr:row>
      <xdr:rowOff>152400</xdr:rowOff>
    </xdr:from>
    <xdr:to>
      <xdr:col>9</xdr:col>
      <xdr:colOff>476250</xdr:colOff>
      <xdr:row>19</xdr:row>
      <xdr:rowOff>180975</xdr:rowOff>
    </xdr:to>
    <xdr:sp>
      <xdr:nvSpPr>
        <xdr:cNvPr id="7" name="Rectangle 3">
          <a:hlinkClick r:id="rId4"/>
        </xdr:cNvPr>
        <xdr:cNvSpPr>
          <a:spLocks/>
        </xdr:cNvSpPr>
      </xdr:nvSpPr>
      <xdr:spPr>
        <a:xfrm>
          <a:off x="5895975" y="3581400"/>
          <a:ext cx="1438275" cy="409575"/>
        </a:xfrm>
        <a:prstGeom prst="rect">
          <a:avLst/>
        </a:prstGeom>
        <a:solidFill>
          <a:srgbClr val="C0C0C0"/>
        </a:solidFill>
        <a:ln w="9525" cmpd="sng">
          <a:noFill/>
        </a:ln>
      </xdr:spPr>
      <xdr:txBody>
        <a:bodyPr vertOverflow="clip" wrap="square" lIns="27432" tIns="22860" rIns="27432" bIns="22860" anchor="ctr"/>
        <a:p>
          <a:pPr algn="ctr">
            <a:defRPr/>
          </a:pPr>
          <a:r>
            <a:rPr lang="en-US" cap="none" sz="1000" b="1" i="0" u="sng" baseline="0">
              <a:solidFill>
                <a:srgbClr val="0000FF"/>
              </a:solidFill>
            </a:rPr>
            <a:t>4. MATRIZ PRESUPUESTAL</a:t>
          </a:r>
        </a:p>
      </xdr:txBody>
    </xdr:sp>
    <xdr:clientData/>
  </xdr:twoCellAnchor>
  <xdr:twoCellAnchor editAs="absolute">
    <xdr:from>
      <xdr:col>5</xdr:col>
      <xdr:colOff>457200</xdr:colOff>
      <xdr:row>17</xdr:row>
      <xdr:rowOff>152400</xdr:rowOff>
    </xdr:from>
    <xdr:to>
      <xdr:col>7</xdr:col>
      <xdr:colOff>371475</xdr:colOff>
      <xdr:row>19</xdr:row>
      <xdr:rowOff>180975</xdr:rowOff>
    </xdr:to>
    <xdr:sp>
      <xdr:nvSpPr>
        <xdr:cNvPr id="8" name="Rectangle 3">
          <a:hlinkClick r:id="rId5"/>
        </xdr:cNvPr>
        <xdr:cNvSpPr>
          <a:spLocks/>
        </xdr:cNvSpPr>
      </xdr:nvSpPr>
      <xdr:spPr>
        <a:xfrm>
          <a:off x="4267200" y="3581400"/>
          <a:ext cx="1438275" cy="409575"/>
        </a:xfrm>
        <a:prstGeom prst="rect">
          <a:avLst/>
        </a:prstGeom>
        <a:solidFill>
          <a:srgbClr val="C0C0C0"/>
        </a:solidFill>
        <a:ln w="9525" cmpd="sng">
          <a:noFill/>
        </a:ln>
      </xdr:spPr>
      <xdr:txBody>
        <a:bodyPr vertOverflow="clip" wrap="square" lIns="27432" tIns="22860" rIns="27432" bIns="22860" anchor="ctr"/>
        <a:p>
          <a:pPr algn="ctr">
            <a:defRPr/>
          </a:pPr>
          <a:r>
            <a:rPr lang="en-US" cap="none" sz="1000" b="1" i="0" u="sng" baseline="0">
              <a:solidFill>
                <a:srgbClr val="0000FF"/>
              </a:solidFill>
            </a:rPr>
            <a:t>3. MATRIZ DE GESTIÓN</a:t>
          </a:r>
        </a:p>
      </xdr:txBody>
    </xdr:sp>
    <xdr:clientData/>
  </xdr:twoCellAnchor>
  <xdr:twoCellAnchor editAs="absolute">
    <xdr:from>
      <xdr:col>6</xdr:col>
      <xdr:colOff>304800</xdr:colOff>
      <xdr:row>21</xdr:row>
      <xdr:rowOff>161925</xdr:rowOff>
    </xdr:from>
    <xdr:to>
      <xdr:col>7</xdr:col>
      <xdr:colOff>238125</xdr:colOff>
      <xdr:row>23</xdr:row>
      <xdr:rowOff>9525</xdr:rowOff>
    </xdr:to>
    <xdr:grpSp>
      <xdr:nvGrpSpPr>
        <xdr:cNvPr id="9" name="Group 1">
          <a:hlinkClick r:id="rId6"/>
        </xdr:cNvPr>
        <xdr:cNvGrpSpPr>
          <a:grpSpLocks/>
        </xdr:cNvGrpSpPr>
      </xdr:nvGrpSpPr>
      <xdr:grpSpPr>
        <a:xfrm>
          <a:off x="4876800" y="4352925"/>
          <a:ext cx="695325" cy="228600"/>
          <a:chOff x="728" y="3"/>
          <a:chExt cx="93" cy="31"/>
        </a:xfrm>
        <a:solidFill>
          <a:srgbClr val="FFFFFF"/>
        </a:solidFill>
      </xdr:grpSpPr>
      <xdr:pic>
        <xdr:nvPicPr>
          <xdr:cNvPr id="10" name="Picture 2"/>
          <xdr:cNvPicPr preferRelativeResize="1">
            <a:picLocks noChangeAspect="1"/>
          </xdr:cNvPicPr>
        </xdr:nvPicPr>
        <xdr:blipFill>
          <a:blip r:embed="rId7"/>
          <a:stretch>
            <a:fillRect/>
          </a:stretch>
        </xdr:blipFill>
        <xdr:spPr>
          <a:xfrm>
            <a:off x="728" y="3"/>
            <a:ext cx="35" cy="31"/>
          </a:xfrm>
          <a:prstGeom prst="rect">
            <a:avLst/>
          </a:prstGeom>
          <a:noFill/>
          <a:ln w="9525" cmpd="sng">
            <a:noFill/>
          </a:ln>
        </xdr:spPr>
      </xdr:pic>
      <xdr:sp>
        <xdr:nvSpPr>
          <xdr:cNvPr id="11" name="Text Box 3"/>
          <xdr:cNvSpPr txBox="1">
            <a:spLocks noChangeArrowheads="1"/>
          </xdr:cNvSpPr>
        </xdr:nvSpPr>
        <xdr:spPr>
          <a:xfrm>
            <a:off x="766" y="9"/>
            <a:ext cx="55" cy="25"/>
          </a:xfrm>
          <a:prstGeom prst="rect">
            <a:avLst/>
          </a:prstGeom>
          <a:noFill/>
          <a:ln w="9525" cmpd="sng">
            <a:noFill/>
          </a:ln>
        </xdr:spPr>
        <xdr:txBody>
          <a:bodyPr vertOverflow="clip" wrap="square" lIns="27432" tIns="22860" rIns="0" bIns="0">
            <a:spAutoFit/>
          </a:bodyPr>
          <a:p>
            <a:pPr algn="l">
              <a:defRPr/>
            </a:pPr>
            <a:r>
              <a:rPr lang="en-US" cap="none" sz="1000" b="1" i="0" u="none" baseline="0">
                <a:solidFill>
                  <a:srgbClr val="000000"/>
                </a:solidFill>
              </a:rPr>
              <a:t>Inicio</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xdr:colOff>
      <xdr:row>0</xdr:row>
      <xdr:rowOff>114300</xdr:rowOff>
    </xdr:from>
    <xdr:to>
      <xdr:col>2</xdr:col>
      <xdr:colOff>809625</xdr:colOff>
      <xdr:row>1</xdr:row>
      <xdr:rowOff>123825</xdr:rowOff>
    </xdr:to>
    <xdr:grpSp>
      <xdr:nvGrpSpPr>
        <xdr:cNvPr id="1" name="Group 1">
          <a:hlinkClick r:id="rId1"/>
        </xdr:cNvPr>
        <xdr:cNvGrpSpPr>
          <a:grpSpLocks/>
        </xdr:cNvGrpSpPr>
      </xdr:nvGrpSpPr>
      <xdr:grpSpPr>
        <a:xfrm>
          <a:off x="1285875" y="114300"/>
          <a:ext cx="752475" cy="295275"/>
          <a:chOff x="728" y="3"/>
          <a:chExt cx="79" cy="31"/>
        </a:xfrm>
        <a:solidFill>
          <a:srgbClr val="FFFFFF"/>
        </a:solidFill>
      </xdr:grpSpPr>
      <xdr:pic>
        <xdr:nvPicPr>
          <xdr:cNvPr id="2" name="Picture 2"/>
          <xdr:cNvPicPr preferRelativeResize="1">
            <a:picLocks noChangeAspect="1"/>
          </xdr:cNvPicPr>
        </xdr:nvPicPr>
        <xdr:blipFill>
          <a:blip r:embed="rId2"/>
          <a:stretch>
            <a:fillRect/>
          </a:stretch>
        </xdr:blipFill>
        <xdr:spPr>
          <a:xfrm>
            <a:off x="728" y="3"/>
            <a:ext cx="35" cy="31"/>
          </a:xfrm>
          <a:prstGeom prst="rect">
            <a:avLst/>
          </a:prstGeom>
          <a:noFill/>
          <a:ln w="9525" cmpd="sng">
            <a:noFill/>
          </a:ln>
        </xdr:spPr>
      </xdr:pic>
      <xdr:sp>
        <xdr:nvSpPr>
          <xdr:cNvPr id="3" name="Text Box 3"/>
          <xdr:cNvSpPr txBox="1">
            <a:spLocks noChangeArrowheads="1"/>
          </xdr:cNvSpPr>
        </xdr:nvSpPr>
        <xdr:spPr>
          <a:xfrm>
            <a:off x="764" y="8"/>
            <a:ext cx="43" cy="19"/>
          </a:xfrm>
          <a:prstGeom prst="rect">
            <a:avLst/>
          </a:prstGeom>
          <a:noFill/>
          <a:ln w="9525" cmpd="sng">
            <a:noFill/>
          </a:ln>
        </xdr:spPr>
        <xdr:txBody>
          <a:bodyPr vertOverflow="clip" wrap="square" lIns="27432" tIns="22860" rIns="0" bIns="0">
            <a:spAutoFit/>
          </a:bodyPr>
          <a:p>
            <a:pPr algn="l">
              <a:defRPr/>
            </a:pPr>
            <a:r>
              <a:rPr lang="en-US" cap="none" sz="1000" b="1" i="0" u="none" baseline="0">
                <a:solidFill>
                  <a:srgbClr val="000000"/>
                </a:solidFill>
              </a:rPr>
              <a:t>Inicio</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0</xdr:row>
      <xdr:rowOff>114300</xdr:rowOff>
    </xdr:from>
    <xdr:to>
      <xdr:col>3</xdr:col>
      <xdr:colOff>9525</xdr:colOff>
      <xdr:row>1</xdr:row>
      <xdr:rowOff>219075</xdr:rowOff>
    </xdr:to>
    <xdr:grpSp>
      <xdr:nvGrpSpPr>
        <xdr:cNvPr id="1" name="Group 1">
          <a:hlinkClick r:id="rId1"/>
        </xdr:cNvPr>
        <xdr:cNvGrpSpPr>
          <a:grpSpLocks/>
        </xdr:cNvGrpSpPr>
      </xdr:nvGrpSpPr>
      <xdr:grpSpPr>
        <a:xfrm>
          <a:off x="1543050" y="114300"/>
          <a:ext cx="752475" cy="295275"/>
          <a:chOff x="728" y="3"/>
          <a:chExt cx="79" cy="31"/>
        </a:xfrm>
        <a:solidFill>
          <a:srgbClr val="FFFFFF"/>
        </a:solidFill>
      </xdr:grpSpPr>
      <xdr:pic>
        <xdr:nvPicPr>
          <xdr:cNvPr id="2" name="Picture 2"/>
          <xdr:cNvPicPr preferRelativeResize="1">
            <a:picLocks noChangeAspect="1"/>
          </xdr:cNvPicPr>
        </xdr:nvPicPr>
        <xdr:blipFill>
          <a:blip r:embed="rId2"/>
          <a:stretch>
            <a:fillRect/>
          </a:stretch>
        </xdr:blipFill>
        <xdr:spPr>
          <a:xfrm>
            <a:off x="728" y="3"/>
            <a:ext cx="35" cy="31"/>
          </a:xfrm>
          <a:prstGeom prst="rect">
            <a:avLst/>
          </a:prstGeom>
          <a:noFill/>
          <a:ln w="9525" cmpd="sng">
            <a:noFill/>
          </a:ln>
        </xdr:spPr>
      </xdr:pic>
      <xdr:sp>
        <xdr:nvSpPr>
          <xdr:cNvPr id="3" name="Text Box 3"/>
          <xdr:cNvSpPr txBox="1">
            <a:spLocks noChangeArrowheads="1"/>
          </xdr:cNvSpPr>
        </xdr:nvSpPr>
        <xdr:spPr>
          <a:xfrm>
            <a:off x="764" y="8"/>
            <a:ext cx="43" cy="19"/>
          </a:xfrm>
          <a:prstGeom prst="rect">
            <a:avLst/>
          </a:prstGeom>
          <a:noFill/>
          <a:ln w="9525" cmpd="sng">
            <a:noFill/>
          </a:ln>
        </xdr:spPr>
        <xdr:txBody>
          <a:bodyPr vertOverflow="clip" wrap="square" lIns="27432" tIns="22860" rIns="0" bIns="0">
            <a:spAutoFit/>
          </a:bodyPr>
          <a:p>
            <a:pPr algn="l">
              <a:defRPr/>
            </a:pPr>
            <a:r>
              <a:rPr lang="en-US" cap="none" sz="1000" b="1" i="0" u="none" baseline="0">
                <a:solidFill>
                  <a:srgbClr val="000000"/>
                </a:solidFill>
              </a:rPr>
              <a:t>Inicio</a:t>
            </a:r>
          </a:p>
        </xdr:txBody>
      </xdr:sp>
    </xdr:grp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38100</xdr:colOff>
      <xdr:row>0</xdr:row>
      <xdr:rowOff>152400</xdr:rowOff>
    </xdr:from>
    <xdr:to>
      <xdr:col>7</xdr:col>
      <xdr:colOff>876300</xdr:colOff>
      <xdr:row>2</xdr:row>
      <xdr:rowOff>66675</xdr:rowOff>
    </xdr:to>
    <xdr:grpSp>
      <xdr:nvGrpSpPr>
        <xdr:cNvPr id="1" name="Group 1">
          <a:hlinkClick r:id="rId1"/>
        </xdr:cNvPr>
        <xdr:cNvGrpSpPr>
          <a:grpSpLocks/>
        </xdr:cNvGrpSpPr>
      </xdr:nvGrpSpPr>
      <xdr:grpSpPr>
        <a:xfrm>
          <a:off x="14439900" y="152400"/>
          <a:ext cx="838200" cy="295275"/>
          <a:chOff x="728" y="3"/>
          <a:chExt cx="88" cy="31"/>
        </a:xfrm>
        <a:solidFill>
          <a:srgbClr val="FFFFFF"/>
        </a:solidFill>
      </xdr:grpSpPr>
      <xdr:pic>
        <xdr:nvPicPr>
          <xdr:cNvPr id="2" name="Picture 2"/>
          <xdr:cNvPicPr preferRelativeResize="1">
            <a:picLocks noChangeAspect="1"/>
          </xdr:cNvPicPr>
        </xdr:nvPicPr>
        <xdr:blipFill>
          <a:blip r:embed="rId2"/>
          <a:stretch>
            <a:fillRect/>
          </a:stretch>
        </xdr:blipFill>
        <xdr:spPr>
          <a:xfrm>
            <a:off x="728" y="3"/>
            <a:ext cx="35" cy="31"/>
          </a:xfrm>
          <a:prstGeom prst="rect">
            <a:avLst/>
          </a:prstGeom>
          <a:noFill/>
          <a:ln w="9525" cmpd="sng">
            <a:noFill/>
          </a:ln>
        </xdr:spPr>
      </xdr:pic>
      <xdr:sp>
        <xdr:nvSpPr>
          <xdr:cNvPr id="3" name="Text Box 3"/>
          <xdr:cNvSpPr txBox="1">
            <a:spLocks noChangeArrowheads="1"/>
          </xdr:cNvSpPr>
        </xdr:nvSpPr>
        <xdr:spPr>
          <a:xfrm>
            <a:off x="764" y="9"/>
            <a:ext cx="52" cy="20"/>
          </a:xfrm>
          <a:prstGeom prst="rect">
            <a:avLst/>
          </a:prstGeom>
          <a:noFill/>
          <a:ln w="9525" cmpd="sng">
            <a:noFill/>
          </a:ln>
        </xdr:spPr>
        <xdr:txBody>
          <a:bodyPr vertOverflow="clip" wrap="square" lIns="27432" tIns="22860" rIns="0" bIns="0">
            <a:spAutoFit/>
          </a:bodyPr>
          <a:p>
            <a:pPr algn="l">
              <a:defRPr/>
            </a:pPr>
            <a:r>
              <a:rPr lang="en-US" cap="none" sz="1000" b="1" i="0" u="none" baseline="0">
                <a:solidFill>
                  <a:srgbClr val="000000"/>
                </a:solidFill>
              </a:rPr>
              <a:t>Inicio</a:t>
            </a:r>
          </a:p>
        </xdr:txBody>
      </xdr:sp>
    </xdr:grpSp>
    <xdr:clientData fPrintsWithSheet="0"/>
  </xdr:twoCellAnchor>
  <xdr:twoCellAnchor>
    <xdr:from>
      <xdr:col>1</xdr:col>
      <xdr:colOff>933450</xdr:colOff>
      <xdr:row>0</xdr:row>
      <xdr:rowOff>114300</xdr:rowOff>
    </xdr:from>
    <xdr:to>
      <xdr:col>2</xdr:col>
      <xdr:colOff>542925</xdr:colOff>
      <xdr:row>2</xdr:row>
      <xdr:rowOff>19050</xdr:rowOff>
    </xdr:to>
    <xdr:sp>
      <xdr:nvSpPr>
        <xdr:cNvPr id="4" name="Rectangle 4">
          <a:hlinkClick r:id="rId3"/>
        </xdr:cNvPr>
        <xdr:cNvSpPr>
          <a:spLocks/>
        </xdr:cNvSpPr>
      </xdr:nvSpPr>
      <xdr:spPr>
        <a:xfrm>
          <a:off x="2647950" y="114300"/>
          <a:ext cx="1323975" cy="285750"/>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EDUCACIÓN</a:t>
          </a:r>
        </a:p>
      </xdr:txBody>
    </xdr:sp>
    <xdr:clientData/>
  </xdr:twoCellAnchor>
  <xdr:twoCellAnchor>
    <xdr:from>
      <xdr:col>2</xdr:col>
      <xdr:colOff>781050</xdr:colOff>
      <xdr:row>0</xdr:row>
      <xdr:rowOff>114300</xdr:rowOff>
    </xdr:from>
    <xdr:to>
      <xdr:col>2</xdr:col>
      <xdr:colOff>2105025</xdr:colOff>
      <xdr:row>2</xdr:row>
      <xdr:rowOff>19050</xdr:rowOff>
    </xdr:to>
    <xdr:sp>
      <xdr:nvSpPr>
        <xdr:cNvPr id="5" name="Rectangle 5">
          <a:hlinkClick r:id="rId4"/>
        </xdr:cNvPr>
        <xdr:cNvSpPr>
          <a:spLocks/>
        </xdr:cNvSpPr>
      </xdr:nvSpPr>
      <xdr:spPr>
        <a:xfrm>
          <a:off x="4210050" y="114300"/>
          <a:ext cx="1323975" cy="285750"/>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INTEGRACIÓN</a:t>
          </a:r>
        </a:p>
      </xdr:txBody>
    </xdr:sp>
    <xdr:clientData/>
  </xdr:twoCellAnchor>
  <xdr:twoCellAnchor>
    <xdr:from>
      <xdr:col>3</xdr:col>
      <xdr:colOff>133350</xdr:colOff>
      <xdr:row>0</xdr:row>
      <xdr:rowOff>133350</xdr:rowOff>
    </xdr:from>
    <xdr:to>
      <xdr:col>3</xdr:col>
      <xdr:colOff>1457325</xdr:colOff>
      <xdr:row>2</xdr:row>
      <xdr:rowOff>38100</xdr:rowOff>
    </xdr:to>
    <xdr:sp>
      <xdr:nvSpPr>
        <xdr:cNvPr id="6" name="Rectangle 6">
          <a:hlinkClick r:id="rId5"/>
        </xdr:cNvPr>
        <xdr:cNvSpPr>
          <a:spLocks/>
        </xdr:cNvSpPr>
      </xdr:nvSpPr>
      <xdr:spPr>
        <a:xfrm>
          <a:off x="5715000" y="133350"/>
          <a:ext cx="1323975" cy="285750"/>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CULTURA</a:t>
          </a:r>
        </a:p>
      </xdr:txBody>
    </xdr:sp>
    <xdr:clientData/>
  </xdr:twoCellAnchor>
  <xdr:twoCellAnchor>
    <xdr:from>
      <xdr:col>3</xdr:col>
      <xdr:colOff>1676400</xdr:colOff>
      <xdr:row>0</xdr:row>
      <xdr:rowOff>133350</xdr:rowOff>
    </xdr:from>
    <xdr:to>
      <xdr:col>4</xdr:col>
      <xdr:colOff>1304925</xdr:colOff>
      <xdr:row>2</xdr:row>
      <xdr:rowOff>38100</xdr:rowOff>
    </xdr:to>
    <xdr:sp>
      <xdr:nvSpPr>
        <xdr:cNvPr id="7" name="Rectangle 7">
          <a:hlinkClick r:id="rId6"/>
        </xdr:cNvPr>
        <xdr:cNvSpPr>
          <a:spLocks/>
        </xdr:cNvSpPr>
      </xdr:nvSpPr>
      <xdr:spPr>
        <a:xfrm>
          <a:off x="7258050" y="133350"/>
          <a:ext cx="1323975" cy="285750"/>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SALUD</a:t>
          </a:r>
        </a:p>
      </xdr:txBody>
    </xdr:sp>
    <xdr:clientData/>
  </xdr:twoCellAnchor>
  <xdr:twoCellAnchor>
    <xdr:from>
      <xdr:col>4</xdr:col>
      <xdr:colOff>1485900</xdr:colOff>
      <xdr:row>0</xdr:row>
      <xdr:rowOff>133350</xdr:rowOff>
    </xdr:from>
    <xdr:to>
      <xdr:col>5</xdr:col>
      <xdr:colOff>38100</xdr:colOff>
      <xdr:row>2</xdr:row>
      <xdr:rowOff>38100</xdr:rowOff>
    </xdr:to>
    <xdr:sp>
      <xdr:nvSpPr>
        <xdr:cNvPr id="8" name="Rectangle 8">
          <a:hlinkClick r:id="rId7"/>
        </xdr:cNvPr>
        <xdr:cNvSpPr>
          <a:spLocks/>
        </xdr:cNvSpPr>
      </xdr:nvSpPr>
      <xdr:spPr>
        <a:xfrm>
          <a:off x="8763000" y="133350"/>
          <a:ext cx="1323975" cy="285750"/>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HÁBITAT</a:t>
          </a:r>
        </a:p>
      </xdr:txBody>
    </xdr:sp>
    <xdr:clientData/>
  </xdr:twoCellAnchor>
  <xdr:twoCellAnchor>
    <xdr:from>
      <xdr:col>5</xdr:col>
      <xdr:colOff>266700</xdr:colOff>
      <xdr:row>0</xdr:row>
      <xdr:rowOff>133350</xdr:rowOff>
    </xdr:from>
    <xdr:to>
      <xdr:col>5</xdr:col>
      <xdr:colOff>1590675</xdr:colOff>
      <xdr:row>2</xdr:row>
      <xdr:rowOff>38100</xdr:rowOff>
    </xdr:to>
    <xdr:sp>
      <xdr:nvSpPr>
        <xdr:cNvPr id="9" name="Rectangle 9">
          <a:hlinkClick r:id="rId8"/>
        </xdr:cNvPr>
        <xdr:cNvSpPr>
          <a:spLocks/>
        </xdr:cNvSpPr>
      </xdr:nvSpPr>
      <xdr:spPr>
        <a:xfrm>
          <a:off x="10315575" y="133350"/>
          <a:ext cx="1323975" cy="285750"/>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GOBIERNO</a:t>
          </a:r>
        </a:p>
      </xdr:txBody>
    </xdr:sp>
    <xdr:clientData/>
  </xdr:twoCellAnchor>
  <xdr:twoCellAnchor>
    <xdr:from>
      <xdr:col>5</xdr:col>
      <xdr:colOff>1905000</xdr:colOff>
      <xdr:row>0</xdr:row>
      <xdr:rowOff>152400</xdr:rowOff>
    </xdr:from>
    <xdr:to>
      <xdr:col>6</xdr:col>
      <xdr:colOff>133350</xdr:colOff>
      <xdr:row>2</xdr:row>
      <xdr:rowOff>57150</xdr:rowOff>
    </xdr:to>
    <xdr:sp>
      <xdr:nvSpPr>
        <xdr:cNvPr id="10" name="Rectangle 10">
          <a:hlinkClick r:id="rId9"/>
        </xdr:cNvPr>
        <xdr:cNvSpPr>
          <a:spLocks/>
        </xdr:cNvSpPr>
      </xdr:nvSpPr>
      <xdr:spPr>
        <a:xfrm>
          <a:off x="11953875" y="152400"/>
          <a:ext cx="1323975" cy="285750"/>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AMBIENTE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1</xdr:row>
      <xdr:rowOff>152400</xdr:rowOff>
    </xdr:from>
    <xdr:to>
      <xdr:col>3</xdr:col>
      <xdr:colOff>762000</xdr:colOff>
      <xdr:row>1</xdr:row>
      <xdr:rowOff>438150</xdr:rowOff>
    </xdr:to>
    <xdr:sp>
      <xdr:nvSpPr>
        <xdr:cNvPr id="1" name="Rectangle 329">
          <a:hlinkClick r:id="rId1"/>
        </xdr:cNvPr>
        <xdr:cNvSpPr>
          <a:spLocks/>
        </xdr:cNvSpPr>
      </xdr:nvSpPr>
      <xdr:spPr>
        <a:xfrm>
          <a:off x="2266950" y="419100"/>
          <a:ext cx="1323975" cy="285750"/>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EDUCACIÓN</a:t>
          </a:r>
        </a:p>
      </xdr:txBody>
    </xdr:sp>
    <xdr:clientData/>
  </xdr:twoCellAnchor>
  <xdr:twoCellAnchor>
    <xdr:from>
      <xdr:col>4</xdr:col>
      <xdr:colOff>371475</xdr:colOff>
      <xdr:row>1</xdr:row>
      <xdr:rowOff>152400</xdr:rowOff>
    </xdr:from>
    <xdr:to>
      <xdr:col>5</xdr:col>
      <xdr:colOff>514350</xdr:colOff>
      <xdr:row>1</xdr:row>
      <xdr:rowOff>438150</xdr:rowOff>
    </xdr:to>
    <xdr:sp>
      <xdr:nvSpPr>
        <xdr:cNvPr id="2" name="Rectangle 331">
          <a:hlinkClick r:id="rId2"/>
        </xdr:cNvPr>
        <xdr:cNvSpPr>
          <a:spLocks/>
        </xdr:cNvSpPr>
      </xdr:nvSpPr>
      <xdr:spPr>
        <a:xfrm>
          <a:off x="4972050" y="419100"/>
          <a:ext cx="1152525" cy="285750"/>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SALUD</a:t>
          </a:r>
        </a:p>
      </xdr:txBody>
    </xdr:sp>
    <xdr:clientData/>
  </xdr:twoCellAnchor>
  <xdr:twoCellAnchor>
    <xdr:from>
      <xdr:col>3</xdr:col>
      <xdr:colOff>857250</xdr:colOff>
      <xdr:row>1</xdr:row>
      <xdr:rowOff>152400</xdr:rowOff>
    </xdr:from>
    <xdr:to>
      <xdr:col>4</xdr:col>
      <xdr:colOff>276225</xdr:colOff>
      <xdr:row>1</xdr:row>
      <xdr:rowOff>438150</xdr:rowOff>
    </xdr:to>
    <xdr:sp>
      <xdr:nvSpPr>
        <xdr:cNvPr id="3" name="Rectangle 332">
          <a:hlinkClick r:id="rId3"/>
        </xdr:cNvPr>
        <xdr:cNvSpPr>
          <a:spLocks/>
        </xdr:cNvSpPr>
      </xdr:nvSpPr>
      <xdr:spPr>
        <a:xfrm>
          <a:off x="3686175" y="419100"/>
          <a:ext cx="1190625" cy="285750"/>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INTEGRACIÓN</a:t>
          </a:r>
        </a:p>
      </xdr:txBody>
    </xdr:sp>
    <xdr:clientData/>
  </xdr:twoCellAnchor>
  <xdr:twoCellAnchor>
    <xdr:from>
      <xdr:col>5</xdr:col>
      <xdr:colOff>609600</xdr:colOff>
      <xdr:row>1</xdr:row>
      <xdr:rowOff>152400</xdr:rowOff>
    </xdr:from>
    <xdr:to>
      <xdr:col>6</xdr:col>
      <xdr:colOff>381000</xdr:colOff>
      <xdr:row>1</xdr:row>
      <xdr:rowOff>438150</xdr:rowOff>
    </xdr:to>
    <xdr:sp>
      <xdr:nvSpPr>
        <xdr:cNvPr id="4" name="Rectangle 333">
          <a:hlinkClick r:id="rId4"/>
        </xdr:cNvPr>
        <xdr:cNvSpPr>
          <a:spLocks/>
        </xdr:cNvSpPr>
      </xdr:nvSpPr>
      <xdr:spPr>
        <a:xfrm>
          <a:off x="6219825" y="419100"/>
          <a:ext cx="1171575" cy="285750"/>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CULTURA REC </a:t>
          </a:r>
        </a:p>
      </xdr:txBody>
    </xdr:sp>
    <xdr:clientData/>
  </xdr:twoCellAnchor>
  <xdr:twoCellAnchor>
    <xdr:from>
      <xdr:col>8</xdr:col>
      <xdr:colOff>276225</xdr:colOff>
      <xdr:row>1</xdr:row>
      <xdr:rowOff>152400</xdr:rowOff>
    </xdr:from>
    <xdr:to>
      <xdr:col>8</xdr:col>
      <xdr:colOff>1371600</xdr:colOff>
      <xdr:row>1</xdr:row>
      <xdr:rowOff>428625</xdr:rowOff>
    </xdr:to>
    <xdr:sp>
      <xdr:nvSpPr>
        <xdr:cNvPr id="5" name="Rectangle 334">
          <a:hlinkClick r:id="rId5"/>
        </xdr:cNvPr>
        <xdr:cNvSpPr>
          <a:spLocks/>
        </xdr:cNvSpPr>
      </xdr:nvSpPr>
      <xdr:spPr>
        <a:xfrm>
          <a:off x="9744075" y="419100"/>
          <a:ext cx="1095375" cy="276225"/>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GOBIERNO</a:t>
          </a:r>
        </a:p>
      </xdr:txBody>
    </xdr:sp>
    <xdr:clientData/>
  </xdr:twoCellAnchor>
  <xdr:twoCellAnchor>
    <xdr:from>
      <xdr:col>6</xdr:col>
      <xdr:colOff>485775</xdr:colOff>
      <xdr:row>1</xdr:row>
      <xdr:rowOff>152400</xdr:rowOff>
    </xdr:from>
    <xdr:to>
      <xdr:col>7</xdr:col>
      <xdr:colOff>200025</xdr:colOff>
      <xdr:row>1</xdr:row>
      <xdr:rowOff>438150</xdr:rowOff>
    </xdr:to>
    <xdr:sp>
      <xdr:nvSpPr>
        <xdr:cNvPr id="6" name="Rectangle 335">
          <a:hlinkClick r:id="rId6"/>
        </xdr:cNvPr>
        <xdr:cNvSpPr>
          <a:spLocks/>
        </xdr:cNvSpPr>
      </xdr:nvSpPr>
      <xdr:spPr>
        <a:xfrm>
          <a:off x="7496175" y="419100"/>
          <a:ext cx="971550" cy="285750"/>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AMBIENTE</a:t>
          </a:r>
        </a:p>
      </xdr:txBody>
    </xdr:sp>
    <xdr:clientData/>
  </xdr:twoCellAnchor>
  <xdr:twoCellAnchor>
    <xdr:from>
      <xdr:col>8</xdr:col>
      <xdr:colOff>1466850</xdr:colOff>
      <xdr:row>1</xdr:row>
      <xdr:rowOff>171450</xdr:rowOff>
    </xdr:from>
    <xdr:to>
      <xdr:col>9</xdr:col>
      <xdr:colOff>561975</xdr:colOff>
      <xdr:row>1</xdr:row>
      <xdr:rowOff>438150</xdr:rowOff>
    </xdr:to>
    <xdr:sp>
      <xdr:nvSpPr>
        <xdr:cNvPr id="7" name="Rectangle 337">
          <a:hlinkClick r:id="rId7"/>
        </xdr:cNvPr>
        <xdr:cNvSpPr>
          <a:spLocks/>
        </xdr:cNvSpPr>
      </xdr:nvSpPr>
      <xdr:spPr>
        <a:xfrm>
          <a:off x="10934700" y="438150"/>
          <a:ext cx="1524000" cy="266700"/>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ORG. DE CONTROL</a:t>
          </a:r>
        </a:p>
      </xdr:txBody>
    </xdr:sp>
    <xdr:clientData/>
  </xdr:twoCellAnchor>
  <xdr:twoCellAnchor>
    <xdr:from>
      <xdr:col>7</xdr:col>
      <xdr:colOff>295275</xdr:colOff>
      <xdr:row>1</xdr:row>
      <xdr:rowOff>152400</xdr:rowOff>
    </xdr:from>
    <xdr:to>
      <xdr:col>8</xdr:col>
      <xdr:colOff>171450</xdr:colOff>
      <xdr:row>1</xdr:row>
      <xdr:rowOff>438150</xdr:rowOff>
    </xdr:to>
    <xdr:sp>
      <xdr:nvSpPr>
        <xdr:cNvPr id="8" name="Rectangle 343">
          <a:hlinkClick r:id="rId8"/>
        </xdr:cNvPr>
        <xdr:cNvSpPr>
          <a:spLocks/>
        </xdr:cNvSpPr>
      </xdr:nvSpPr>
      <xdr:spPr>
        <a:xfrm>
          <a:off x="8562975" y="419100"/>
          <a:ext cx="1076325" cy="285750"/>
        </a:xfrm>
        <a:prstGeom prst="rect">
          <a:avLst/>
        </a:prstGeom>
        <a:solidFill>
          <a:srgbClr val="C0C0C0"/>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HABITAT</a:t>
          </a:r>
        </a:p>
      </xdr:txBody>
    </xdr:sp>
    <xdr:clientData/>
  </xdr:twoCellAnchor>
  <xdr:twoCellAnchor>
    <xdr:from>
      <xdr:col>10</xdr:col>
      <xdr:colOff>466725</xdr:colOff>
      <xdr:row>1</xdr:row>
      <xdr:rowOff>123825</xdr:rowOff>
    </xdr:from>
    <xdr:to>
      <xdr:col>11</xdr:col>
      <xdr:colOff>257175</xdr:colOff>
      <xdr:row>1</xdr:row>
      <xdr:rowOff>504825</xdr:rowOff>
    </xdr:to>
    <xdr:sp>
      <xdr:nvSpPr>
        <xdr:cNvPr id="9" name="Rectangle 344">
          <a:hlinkClick r:id="rId9"/>
        </xdr:cNvPr>
        <xdr:cNvSpPr>
          <a:spLocks/>
        </xdr:cNvSpPr>
      </xdr:nvSpPr>
      <xdr:spPr>
        <a:xfrm>
          <a:off x="14792325" y="390525"/>
          <a:ext cx="1609725" cy="381000"/>
        </a:xfrm>
        <a:prstGeom prst="rect">
          <a:avLst/>
        </a:prstGeom>
        <a:solidFill>
          <a:srgbClr val="333399"/>
        </a:solidFill>
        <a:ln w="9525" cmpd="sng">
          <a:noFill/>
        </a:ln>
      </xdr:spPr>
      <xdr:txBody>
        <a:bodyPr vertOverflow="clip" wrap="square" lIns="27432" tIns="27432" rIns="27432" bIns="27432" anchor="ctr"/>
        <a:p>
          <a:pPr algn="ctr">
            <a:defRPr/>
          </a:pPr>
          <a:r>
            <a:rPr lang="en-US" cap="none" sz="1100" b="1" i="0" u="none" baseline="0">
              <a:solidFill>
                <a:srgbClr val="FFFFFF"/>
              </a:solidFill>
              <a:latin typeface="Calibri"/>
              <a:ea typeface="Calibri"/>
              <a:cs typeface="Calibri"/>
            </a:rPr>
            <a:t>INDICACIONES GENERALES</a:t>
          </a:r>
        </a:p>
      </xdr:txBody>
    </xdr:sp>
    <xdr:clientData/>
  </xdr:twoCellAnchor>
  <xdr:twoCellAnchor editAs="absolute">
    <xdr:from>
      <xdr:col>1</xdr:col>
      <xdr:colOff>76200</xdr:colOff>
      <xdr:row>0</xdr:row>
      <xdr:rowOff>47625</xdr:rowOff>
    </xdr:from>
    <xdr:to>
      <xdr:col>1</xdr:col>
      <xdr:colOff>876300</xdr:colOff>
      <xdr:row>1</xdr:row>
      <xdr:rowOff>76200</xdr:rowOff>
    </xdr:to>
    <xdr:grpSp>
      <xdr:nvGrpSpPr>
        <xdr:cNvPr id="10" name="Group 1">
          <a:hlinkClick r:id="rId10"/>
        </xdr:cNvPr>
        <xdr:cNvGrpSpPr>
          <a:grpSpLocks/>
        </xdr:cNvGrpSpPr>
      </xdr:nvGrpSpPr>
      <xdr:grpSpPr>
        <a:xfrm>
          <a:off x="447675" y="47625"/>
          <a:ext cx="800100" cy="295275"/>
          <a:chOff x="728" y="3"/>
          <a:chExt cx="84" cy="31"/>
        </a:xfrm>
        <a:solidFill>
          <a:srgbClr val="FFFFFF"/>
        </a:solidFill>
      </xdr:grpSpPr>
      <xdr:pic>
        <xdr:nvPicPr>
          <xdr:cNvPr id="11" name="Picture 2"/>
          <xdr:cNvPicPr preferRelativeResize="1">
            <a:picLocks noChangeAspect="1"/>
          </xdr:cNvPicPr>
        </xdr:nvPicPr>
        <xdr:blipFill>
          <a:blip r:embed="rId11"/>
          <a:stretch>
            <a:fillRect/>
          </a:stretch>
        </xdr:blipFill>
        <xdr:spPr>
          <a:xfrm>
            <a:off x="728" y="3"/>
            <a:ext cx="35" cy="31"/>
          </a:xfrm>
          <a:prstGeom prst="rect">
            <a:avLst/>
          </a:prstGeom>
          <a:noFill/>
          <a:ln w="9525" cmpd="sng">
            <a:noFill/>
          </a:ln>
        </xdr:spPr>
      </xdr:pic>
      <xdr:sp>
        <xdr:nvSpPr>
          <xdr:cNvPr id="12" name="Text Box 3"/>
          <xdr:cNvSpPr txBox="1">
            <a:spLocks noChangeArrowheads="1"/>
          </xdr:cNvSpPr>
        </xdr:nvSpPr>
        <xdr:spPr>
          <a:xfrm>
            <a:off x="768" y="10"/>
            <a:ext cx="44" cy="20"/>
          </a:xfrm>
          <a:prstGeom prst="rect">
            <a:avLst/>
          </a:prstGeom>
          <a:noFill/>
          <a:ln w="9525" cmpd="sng">
            <a:noFill/>
          </a:ln>
        </xdr:spPr>
        <xdr:txBody>
          <a:bodyPr vertOverflow="clip" wrap="square" lIns="27432" tIns="22860" rIns="0" bIns="0">
            <a:spAutoFit/>
          </a:bodyPr>
          <a:p>
            <a:pPr algn="l">
              <a:defRPr/>
            </a:pPr>
            <a:r>
              <a:rPr lang="en-US" cap="none" sz="1000" b="1" i="0" u="none" baseline="0">
                <a:solidFill>
                  <a:srgbClr val="000000"/>
                </a:solidFill>
              </a:rPr>
              <a:t>Inicio</a:t>
            </a:r>
          </a:p>
        </xdr:txBody>
      </xdr:sp>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K23"/>
  <sheetViews>
    <sheetView showGridLines="0" tabSelected="1" zoomScalePageLayoutView="0" workbookViewId="0" topLeftCell="A1">
      <selection activeCell="A1" sqref="A1"/>
    </sheetView>
  </sheetViews>
  <sheetFormatPr defaultColWidth="11.421875" defaultRowHeight="15"/>
  <sheetData>
    <row r="4" ht="15" customHeight="1">
      <c r="A4" s="255"/>
    </row>
    <row r="6" spans="1:10" ht="30" customHeight="1">
      <c r="A6" s="374" t="s">
        <v>978</v>
      </c>
      <c r="B6" s="374"/>
      <c r="C6" s="374"/>
      <c r="D6" s="374"/>
      <c r="E6" s="374"/>
      <c r="F6" s="374"/>
      <c r="G6" s="374"/>
      <c r="H6" s="374"/>
      <c r="I6" s="374"/>
      <c r="J6" s="374"/>
    </row>
    <row r="23" spans="1:11" ht="15">
      <c r="A23" s="328" t="s">
        <v>530</v>
      </c>
      <c r="B23" s="328"/>
      <c r="C23" s="328"/>
      <c r="D23" s="328"/>
      <c r="E23" s="328"/>
      <c r="F23" s="328"/>
      <c r="G23" s="328"/>
      <c r="H23" s="328"/>
      <c r="I23" s="328"/>
      <c r="J23" s="328"/>
      <c r="K23" s="328"/>
    </row>
  </sheetData>
  <sheetProtection sheet="1" objects="1" scenarios="1"/>
  <mergeCells count="1">
    <mergeCell ref="A6:J6"/>
  </mergeCells>
  <printOptions/>
  <pageMargins left="0.75" right="0.75" top="1"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2:T30"/>
  <sheetViews>
    <sheetView showGridLines="0" zoomScalePageLayoutView="0" workbookViewId="0" topLeftCell="A7">
      <selection activeCell="G13" sqref="G13:J13"/>
    </sheetView>
  </sheetViews>
  <sheetFormatPr defaultColWidth="11.421875" defaultRowHeight="15"/>
  <cols>
    <col min="1" max="1" width="3.421875" style="0" customWidth="1"/>
    <col min="2" max="2" width="15.00390625" style="0" customWidth="1"/>
    <col min="3" max="3" width="14.8515625" style="0" customWidth="1"/>
    <col min="4" max="4" width="11.8515625" style="0" customWidth="1"/>
    <col min="5" max="5" width="12.421875" style="0" customWidth="1"/>
    <col min="6" max="6" width="4.140625" style="0" customWidth="1"/>
    <col min="7" max="7" width="14.8515625" style="0" customWidth="1"/>
    <col min="8" max="10" width="16.421875" style="0" customWidth="1"/>
    <col min="12" max="12" width="19.7109375" style="0" customWidth="1"/>
    <col min="13" max="13" width="20.140625" style="0" customWidth="1"/>
    <col min="14" max="14" width="17.57421875" style="0" customWidth="1"/>
    <col min="15" max="15" width="17.140625" style="0" customWidth="1"/>
    <col min="17" max="17" width="15.28125" style="0" customWidth="1"/>
    <col min="18" max="18" width="16.7109375" style="0" customWidth="1"/>
    <col min="19" max="19" width="16.8515625" style="0" customWidth="1"/>
    <col min="20" max="20" width="21.8515625" style="0" customWidth="1"/>
  </cols>
  <sheetData>
    <row r="1" ht="22.5" customHeight="1"/>
    <row r="2" spans="5:10" ht="24" customHeight="1">
      <c r="E2" s="399" t="s">
        <v>624</v>
      </c>
      <c r="F2" s="399"/>
      <c r="G2" s="399"/>
      <c r="H2" s="399"/>
      <c r="I2" s="399"/>
      <c r="J2" s="399"/>
    </row>
    <row r="3" spans="5:10" ht="12" customHeight="1">
      <c r="E3" s="7"/>
      <c r="F3" s="7"/>
      <c r="G3" s="7"/>
      <c r="H3" s="7"/>
      <c r="I3" s="7"/>
      <c r="J3" s="7"/>
    </row>
    <row r="4" spans="2:10" ht="27.75" customHeight="1">
      <c r="B4" s="407"/>
      <c r="C4" s="407"/>
      <c r="D4" s="407"/>
      <c r="E4" s="407"/>
      <c r="F4" s="407"/>
      <c r="G4" s="407"/>
      <c r="H4" s="407"/>
      <c r="I4" s="407"/>
      <c r="J4" s="407"/>
    </row>
    <row r="5" spans="5:10" ht="12" customHeight="1" thickBot="1">
      <c r="E5" s="7"/>
      <c r="F5" s="7"/>
      <c r="G5" s="7"/>
      <c r="H5" s="7"/>
      <c r="I5" s="7"/>
      <c r="J5" s="7"/>
    </row>
    <row r="6" spans="2:20" ht="18.75">
      <c r="B6" s="378" t="s">
        <v>625</v>
      </c>
      <c r="C6" s="378"/>
      <c r="D6" s="378"/>
      <c r="E6" s="378"/>
      <c r="G6" s="378" t="s">
        <v>925</v>
      </c>
      <c r="H6" s="378"/>
      <c r="I6" s="378"/>
      <c r="J6" s="378"/>
      <c r="L6" s="378" t="s">
        <v>926</v>
      </c>
      <c r="M6" s="378"/>
      <c r="N6" s="378"/>
      <c r="O6" s="378"/>
      <c r="Q6" s="375" t="s">
        <v>927</v>
      </c>
      <c r="R6" s="376"/>
      <c r="S6" s="376"/>
      <c r="T6" s="377"/>
    </row>
    <row r="7" spans="2:20" ht="23.25" customHeight="1">
      <c r="B7" s="381" t="s">
        <v>123</v>
      </c>
      <c r="C7" s="381"/>
      <c r="D7" s="381"/>
      <c r="E7" s="381"/>
      <c r="G7" s="5"/>
      <c r="H7" s="5"/>
      <c r="I7" s="5"/>
      <c r="J7" s="5"/>
      <c r="M7" s="331"/>
      <c r="N7" s="331"/>
      <c r="O7" s="331"/>
      <c r="Q7" s="174"/>
      <c r="R7" s="5"/>
      <c r="S7" s="5"/>
      <c r="T7" s="175"/>
    </row>
    <row r="8" spans="2:20" ht="74.25" customHeight="1">
      <c r="B8" s="382" t="s">
        <v>915</v>
      </c>
      <c r="C8" s="382"/>
      <c r="D8" s="382"/>
      <c r="E8" s="382"/>
      <c r="G8" s="382" t="s">
        <v>928</v>
      </c>
      <c r="H8" s="382"/>
      <c r="I8" s="382"/>
      <c r="J8" s="382"/>
      <c r="L8" s="384" t="s">
        <v>985</v>
      </c>
      <c r="M8" s="384"/>
      <c r="N8" s="384"/>
      <c r="O8" s="384"/>
      <c r="Q8" s="385" t="s">
        <v>124</v>
      </c>
      <c r="R8" s="383"/>
      <c r="S8" s="383"/>
      <c r="T8" s="386"/>
    </row>
    <row r="9" spans="2:20" ht="20.25" customHeight="1">
      <c r="B9" s="387"/>
      <c r="C9" s="387"/>
      <c r="D9" s="387"/>
      <c r="E9" s="387"/>
      <c r="G9" s="25"/>
      <c r="H9" s="25"/>
      <c r="I9" s="25"/>
      <c r="J9" s="25"/>
      <c r="L9" s="384" t="s">
        <v>986</v>
      </c>
      <c r="M9" s="384"/>
      <c r="N9" s="384"/>
      <c r="O9" s="384"/>
      <c r="Q9" s="176"/>
      <c r="R9" s="173"/>
      <c r="S9" s="173"/>
      <c r="T9" s="177"/>
    </row>
    <row r="10" spans="2:20" ht="30.75" customHeight="1">
      <c r="B10" s="404" t="s">
        <v>916</v>
      </c>
      <c r="C10" s="404"/>
      <c r="D10" s="404" t="s">
        <v>917</v>
      </c>
      <c r="E10" s="404"/>
      <c r="G10" s="388" t="s">
        <v>122</v>
      </c>
      <c r="H10" s="388"/>
      <c r="I10" s="388"/>
      <c r="J10" s="388"/>
      <c r="L10" s="384"/>
      <c r="M10" s="384"/>
      <c r="N10" s="384"/>
      <c r="O10" s="384"/>
      <c r="Q10" s="389" t="s">
        <v>988</v>
      </c>
      <c r="R10" s="390"/>
      <c r="S10" s="390"/>
      <c r="T10" s="391"/>
    </row>
    <row r="11" spans="2:20" ht="82.5" customHeight="1">
      <c r="B11" s="405" t="s">
        <v>918</v>
      </c>
      <c r="C11" s="406"/>
      <c r="D11" s="401" t="s">
        <v>623</v>
      </c>
      <c r="E11" s="402"/>
      <c r="F11" s="8"/>
      <c r="G11" s="388"/>
      <c r="H11" s="388"/>
      <c r="I11" s="388"/>
      <c r="J11" s="388"/>
      <c r="L11" s="384"/>
      <c r="M11" s="384"/>
      <c r="N11" s="384"/>
      <c r="O11" s="384"/>
      <c r="Q11" s="389"/>
      <c r="R11" s="390"/>
      <c r="S11" s="390"/>
      <c r="T11" s="391"/>
    </row>
    <row r="12" spans="2:20" ht="63" customHeight="1">
      <c r="B12" s="405" t="s">
        <v>919</v>
      </c>
      <c r="C12" s="406"/>
      <c r="D12" s="401" t="s">
        <v>999</v>
      </c>
      <c r="E12" s="402"/>
      <c r="G12" s="382"/>
      <c r="H12" s="382"/>
      <c r="I12" s="382"/>
      <c r="J12" s="382"/>
      <c r="L12" s="384" t="s">
        <v>987</v>
      </c>
      <c r="M12" s="384"/>
      <c r="N12" s="384"/>
      <c r="O12" s="384"/>
      <c r="Q12" s="389"/>
      <c r="R12" s="390"/>
      <c r="S12" s="390"/>
      <c r="T12" s="391"/>
    </row>
    <row r="13" spans="2:20" ht="66.75" customHeight="1">
      <c r="B13" s="400" t="s">
        <v>622</v>
      </c>
      <c r="C13" s="400"/>
      <c r="D13" s="403" t="s">
        <v>1000</v>
      </c>
      <c r="E13" s="403"/>
      <c r="G13" s="382"/>
      <c r="H13" s="382"/>
      <c r="I13" s="382"/>
      <c r="J13" s="382"/>
      <c r="L13" s="384"/>
      <c r="M13" s="384"/>
      <c r="N13" s="384"/>
      <c r="O13" s="384"/>
      <c r="Q13" s="389"/>
      <c r="R13" s="390"/>
      <c r="S13" s="390"/>
      <c r="T13" s="391"/>
    </row>
    <row r="14" spans="2:20" ht="82.5" customHeight="1">
      <c r="B14" s="409"/>
      <c r="C14" s="409"/>
      <c r="D14" s="409"/>
      <c r="E14" s="409"/>
      <c r="G14" s="382"/>
      <c r="H14" s="382"/>
      <c r="I14" s="382"/>
      <c r="J14" s="382"/>
      <c r="L14" s="384" t="s">
        <v>982</v>
      </c>
      <c r="M14" s="390"/>
      <c r="N14" s="390"/>
      <c r="O14" s="390"/>
      <c r="Q14" s="389"/>
      <c r="R14" s="390"/>
      <c r="S14" s="390"/>
      <c r="T14" s="391"/>
    </row>
    <row r="15" spans="2:20" ht="73.5" customHeight="1">
      <c r="B15" s="408"/>
      <c r="C15" s="408"/>
      <c r="D15" s="408"/>
      <c r="E15" s="408"/>
      <c r="G15" s="382"/>
      <c r="H15" s="382"/>
      <c r="I15" s="382"/>
      <c r="J15" s="382"/>
      <c r="L15" s="384" t="s">
        <v>983</v>
      </c>
      <c r="M15" s="384"/>
      <c r="N15" s="384"/>
      <c r="O15" s="384"/>
      <c r="Q15" s="389"/>
      <c r="R15" s="390"/>
      <c r="S15" s="390"/>
      <c r="T15" s="391"/>
    </row>
    <row r="16" spans="12:20" ht="82.5" customHeight="1">
      <c r="L16" s="384" t="s">
        <v>984</v>
      </c>
      <c r="M16" s="384"/>
      <c r="N16" s="384"/>
      <c r="O16" s="384"/>
      <c r="Q16" s="389"/>
      <c r="R16" s="390"/>
      <c r="S16" s="390"/>
      <c r="T16" s="391"/>
    </row>
    <row r="17" spans="12:20" ht="15" customHeight="1">
      <c r="L17" s="384"/>
      <c r="M17" s="384"/>
      <c r="N17" s="384"/>
      <c r="O17" s="384"/>
      <c r="Q17" s="392" t="s">
        <v>400</v>
      </c>
      <c r="R17" s="393"/>
      <c r="S17" s="393"/>
      <c r="T17" s="394"/>
    </row>
    <row r="18" spans="2:20" ht="69" customHeight="1">
      <c r="B18" s="383"/>
      <c r="C18" s="383"/>
      <c r="D18" s="383"/>
      <c r="E18" s="383"/>
      <c r="L18" s="384"/>
      <c r="M18" s="384"/>
      <c r="N18" s="384"/>
      <c r="O18" s="384"/>
      <c r="Q18" s="392"/>
      <c r="R18" s="393"/>
      <c r="S18" s="393"/>
      <c r="T18" s="394"/>
    </row>
    <row r="19" spans="2:20" ht="15.75">
      <c r="B19" s="5"/>
      <c r="C19" s="5"/>
      <c r="D19" s="5"/>
      <c r="E19" s="5"/>
      <c r="L19" s="383"/>
      <c r="M19" s="383"/>
      <c r="N19" s="383"/>
      <c r="O19" s="383"/>
      <c r="Q19" s="392"/>
      <c r="R19" s="393"/>
      <c r="S19" s="393"/>
      <c r="T19" s="394"/>
    </row>
    <row r="20" spans="2:20" ht="21" customHeight="1">
      <c r="B20" s="380"/>
      <c r="C20" s="380"/>
      <c r="D20" s="380"/>
      <c r="E20" s="380"/>
      <c r="L20" s="330" t="s">
        <v>980</v>
      </c>
      <c r="M20" s="329"/>
      <c r="N20" s="329"/>
      <c r="O20" s="329"/>
      <c r="Q20" s="392"/>
      <c r="R20" s="393"/>
      <c r="S20" s="393"/>
      <c r="T20" s="394"/>
    </row>
    <row r="21" spans="2:20" ht="48" customHeight="1">
      <c r="B21" s="398"/>
      <c r="C21" s="398"/>
      <c r="D21" s="379"/>
      <c r="E21" s="379"/>
      <c r="L21" s="383" t="s">
        <v>981</v>
      </c>
      <c r="M21" s="383"/>
      <c r="N21" s="383"/>
      <c r="O21" s="383"/>
      <c r="Q21" s="392"/>
      <c r="R21" s="393"/>
      <c r="S21" s="393"/>
      <c r="T21" s="394"/>
    </row>
    <row r="22" spans="2:20" ht="46.5" customHeight="1" thickBot="1">
      <c r="B22" s="398"/>
      <c r="C22" s="398"/>
      <c r="D22" s="379"/>
      <c r="E22" s="379"/>
      <c r="Q22" s="395"/>
      <c r="R22" s="396"/>
      <c r="S22" s="396"/>
      <c r="T22" s="397"/>
    </row>
    <row r="23" spans="2:5" ht="48.75" customHeight="1">
      <c r="B23" s="398"/>
      <c r="C23" s="398"/>
      <c r="D23" s="379"/>
      <c r="E23" s="379"/>
    </row>
    <row r="24" spans="2:5" ht="45.75" customHeight="1">
      <c r="B24" s="398"/>
      <c r="C24" s="398"/>
      <c r="D24" s="379"/>
      <c r="E24" s="379"/>
    </row>
    <row r="25" spans="2:5" ht="48.75" customHeight="1">
      <c r="B25" s="398"/>
      <c r="C25" s="398"/>
      <c r="D25" s="379"/>
      <c r="E25" s="379"/>
    </row>
    <row r="26" spans="2:5" ht="48" customHeight="1">
      <c r="B26" s="398"/>
      <c r="C26" s="398"/>
      <c r="D26" s="379"/>
      <c r="E26" s="379"/>
    </row>
    <row r="27" spans="2:5" ht="47.25" customHeight="1">
      <c r="B27" s="398"/>
      <c r="C27" s="398"/>
      <c r="D27" s="379"/>
      <c r="E27" s="379"/>
    </row>
    <row r="28" spans="2:5" ht="15">
      <c r="B28" s="5"/>
      <c r="C28" s="5"/>
      <c r="D28" s="5"/>
      <c r="E28" s="5"/>
    </row>
    <row r="29" spans="2:5" ht="63" customHeight="1">
      <c r="B29" s="408"/>
      <c r="C29" s="408"/>
      <c r="D29" s="408"/>
      <c r="E29" s="408"/>
    </row>
    <row r="30" spans="2:5" ht="15">
      <c r="B30" s="5"/>
      <c r="C30" s="5"/>
      <c r="D30" s="5"/>
      <c r="E30" s="5"/>
    </row>
  </sheetData>
  <sheetProtection/>
  <mergeCells count="53">
    <mergeCell ref="L19:O19"/>
    <mergeCell ref="L12:O13"/>
    <mergeCell ref="L15:O15"/>
    <mergeCell ref="L16:O18"/>
    <mergeCell ref="L14:O14"/>
    <mergeCell ref="B29:E29"/>
    <mergeCell ref="B11:C11"/>
    <mergeCell ref="D11:E11"/>
    <mergeCell ref="B14:E15"/>
    <mergeCell ref="B22:C22"/>
    <mergeCell ref="D22:E22"/>
    <mergeCell ref="B23:C23"/>
    <mergeCell ref="D23:E23"/>
    <mergeCell ref="B18:E18"/>
    <mergeCell ref="B21:C21"/>
    <mergeCell ref="E2:J2"/>
    <mergeCell ref="G6:J6"/>
    <mergeCell ref="B13:C13"/>
    <mergeCell ref="D12:E12"/>
    <mergeCell ref="D13:E13"/>
    <mergeCell ref="B10:C10"/>
    <mergeCell ref="D10:E10"/>
    <mergeCell ref="B12:C12"/>
    <mergeCell ref="B4:J4"/>
    <mergeCell ref="G13:J13"/>
    <mergeCell ref="B27:C27"/>
    <mergeCell ref="D27:E27"/>
    <mergeCell ref="B24:C24"/>
    <mergeCell ref="D24:E24"/>
    <mergeCell ref="B25:C25"/>
    <mergeCell ref="D25:E25"/>
    <mergeCell ref="B26:C26"/>
    <mergeCell ref="D26:E26"/>
    <mergeCell ref="B20:C20"/>
    <mergeCell ref="Q8:T8"/>
    <mergeCell ref="L8:O8"/>
    <mergeCell ref="B9:E9"/>
    <mergeCell ref="G10:J11"/>
    <mergeCell ref="G8:J8"/>
    <mergeCell ref="B8:E8"/>
    <mergeCell ref="Q10:T16"/>
    <mergeCell ref="Q17:T22"/>
    <mergeCell ref="G14:J14"/>
    <mergeCell ref="Q6:T6"/>
    <mergeCell ref="L6:O6"/>
    <mergeCell ref="D21:E21"/>
    <mergeCell ref="D20:E20"/>
    <mergeCell ref="B6:E6"/>
    <mergeCell ref="B7:E7"/>
    <mergeCell ref="G15:J15"/>
    <mergeCell ref="G12:J12"/>
    <mergeCell ref="L21:O21"/>
    <mergeCell ref="L9:O11"/>
  </mergeCells>
  <printOptions/>
  <pageMargins left="0.7" right="0.7" top="0.75" bottom="0.75" header="0.3" footer="0.3"/>
  <pageSetup horizontalDpi="200" verticalDpi="200" orientation="portrait" paperSize="9" r:id="rId2"/>
  <drawing r:id="rId1"/>
</worksheet>
</file>

<file path=xl/worksheets/sheet3.xml><?xml version="1.0" encoding="utf-8"?>
<worksheet xmlns="http://schemas.openxmlformats.org/spreadsheetml/2006/main" xmlns:r="http://schemas.openxmlformats.org/officeDocument/2006/relationships">
  <dimension ref="A2:W157"/>
  <sheetViews>
    <sheetView showGridLines="0" zoomScalePageLayoutView="0" workbookViewId="0" topLeftCell="A1">
      <selection activeCell="A1" sqref="A1"/>
    </sheetView>
  </sheetViews>
  <sheetFormatPr defaultColWidth="11.421875" defaultRowHeight="15"/>
  <sheetData>
    <row r="2" spans="6:12" ht="19.5">
      <c r="F2" s="410" t="s">
        <v>483</v>
      </c>
      <c r="G2" s="410"/>
      <c r="H2" s="410"/>
      <c r="I2" s="410"/>
      <c r="J2" s="410"/>
      <c r="K2" s="410"/>
      <c r="L2" s="410"/>
    </row>
    <row r="3" spans="6:12" ht="18.75">
      <c r="F3" s="11"/>
      <c r="G3" s="11"/>
      <c r="H3" s="11"/>
      <c r="I3" s="11"/>
      <c r="J3" s="11"/>
      <c r="K3" s="11"/>
      <c r="L3" s="11"/>
    </row>
    <row r="4" spans="6:12" ht="17.25">
      <c r="F4" s="12"/>
      <c r="G4" s="16"/>
      <c r="H4" s="16"/>
      <c r="I4" s="17" t="s">
        <v>723</v>
      </c>
      <c r="J4" s="16"/>
      <c r="K4" s="16"/>
      <c r="L4" s="12"/>
    </row>
    <row r="5" spans="6:12" ht="17.25">
      <c r="F5" s="12"/>
      <c r="G5" s="16"/>
      <c r="H5" s="16"/>
      <c r="I5" s="17" t="s">
        <v>724</v>
      </c>
      <c r="J5" s="16"/>
      <c r="K5" s="16"/>
      <c r="L5" s="12"/>
    </row>
    <row r="6" spans="6:12" ht="17.25">
      <c r="F6" s="12"/>
      <c r="G6" s="16"/>
      <c r="H6" s="18"/>
      <c r="I6" s="17" t="s">
        <v>725</v>
      </c>
      <c r="J6" s="16"/>
      <c r="K6" s="16"/>
      <c r="L6" s="12"/>
    </row>
    <row r="7" spans="7:11" ht="17.25">
      <c r="G7" s="16"/>
      <c r="H7" s="18"/>
      <c r="I7" s="19" t="s">
        <v>726</v>
      </c>
      <c r="J7" s="19"/>
      <c r="K7" s="18"/>
    </row>
    <row r="9" spans="1:2" ht="17.25">
      <c r="A9" s="162" t="s">
        <v>484</v>
      </c>
      <c r="B9" s="13" t="s">
        <v>536</v>
      </c>
    </row>
    <row r="10" ht="15.75" thickBot="1"/>
    <row r="11" spans="2:22" ht="16.5" thickBot="1">
      <c r="B11" s="163" t="s">
        <v>727</v>
      </c>
      <c r="C11" s="14" t="s">
        <v>704</v>
      </c>
      <c r="D11" s="9" t="s">
        <v>705</v>
      </c>
      <c r="E11" s="9" t="s">
        <v>706</v>
      </c>
      <c r="F11" s="9" t="s">
        <v>707</v>
      </c>
      <c r="G11" s="9" t="s">
        <v>708</v>
      </c>
      <c r="H11" s="9" t="s">
        <v>709</v>
      </c>
      <c r="I11" s="9" t="s">
        <v>710</v>
      </c>
      <c r="J11" s="9" t="s">
        <v>711</v>
      </c>
      <c r="K11" s="9" t="s">
        <v>712</v>
      </c>
      <c r="L11" s="9" t="s">
        <v>713</v>
      </c>
      <c r="M11" s="9" t="s">
        <v>714</v>
      </c>
      <c r="N11" s="9" t="s">
        <v>715</v>
      </c>
      <c r="O11" s="9" t="s">
        <v>716</v>
      </c>
      <c r="P11" s="9" t="s">
        <v>717</v>
      </c>
      <c r="Q11" s="9" t="s">
        <v>718</v>
      </c>
      <c r="R11" s="9" t="s">
        <v>719</v>
      </c>
      <c r="S11" s="9" t="s">
        <v>720</v>
      </c>
      <c r="T11" s="9" t="s">
        <v>721</v>
      </c>
      <c r="U11" s="10" t="s">
        <v>722</v>
      </c>
      <c r="V11" s="164" t="s">
        <v>485</v>
      </c>
    </row>
    <row r="12" spans="2:22" ht="16.5" thickBot="1">
      <c r="B12" s="165" t="s">
        <v>486</v>
      </c>
      <c r="C12" s="15">
        <v>119681</v>
      </c>
      <c r="D12" s="15">
        <v>118987</v>
      </c>
      <c r="E12" s="15">
        <v>118532</v>
      </c>
      <c r="F12" s="15">
        <v>118310</v>
      </c>
      <c r="G12" s="15">
        <v>118324</v>
      </c>
      <c r="H12" s="15">
        <v>118056</v>
      </c>
      <c r="I12" s="15">
        <v>118651</v>
      </c>
      <c r="J12" s="15">
        <v>119498</v>
      </c>
      <c r="K12" s="15">
        <v>120550</v>
      </c>
      <c r="L12" s="15">
        <v>121752</v>
      </c>
      <c r="M12" s="15">
        <v>123037</v>
      </c>
      <c r="N12" s="15">
        <v>124332</v>
      </c>
      <c r="O12" s="15">
        <v>125684</v>
      </c>
      <c r="P12" s="15">
        <v>127084</v>
      </c>
      <c r="Q12" s="15">
        <v>128420</v>
      </c>
      <c r="R12" s="15">
        <v>129765</v>
      </c>
      <c r="S12" s="15">
        <v>131309</v>
      </c>
      <c r="T12" s="15">
        <v>131794</v>
      </c>
      <c r="U12" s="15">
        <v>130666</v>
      </c>
      <c r="V12" s="166">
        <f>SUM(C12:U12)</f>
        <v>2344432</v>
      </c>
    </row>
    <row r="15" spans="1:2" ht="17.25">
      <c r="A15" s="162" t="s">
        <v>533</v>
      </c>
      <c r="B15" s="13" t="s">
        <v>537</v>
      </c>
    </row>
    <row r="16" ht="15.75" thickBot="1"/>
    <row r="17" spans="1:23" ht="16.5" thickBot="1">
      <c r="A17" s="32"/>
      <c r="B17" s="163" t="s">
        <v>727</v>
      </c>
      <c r="C17" s="14" t="s">
        <v>704</v>
      </c>
      <c r="D17" s="9" t="s">
        <v>705</v>
      </c>
      <c r="E17" s="9" t="s">
        <v>706</v>
      </c>
      <c r="F17" s="9" t="s">
        <v>707</v>
      </c>
      <c r="G17" s="9" t="s">
        <v>708</v>
      </c>
      <c r="H17" s="9" t="s">
        <v>709</v>
      </c>
      <c r="I17" s="9" t="s">
        <v>710</v>
      </c>
      <c r="J17" s="9" t="s">
        <v>711</v>
      </c>
      <c r="K17" s="9" t="s">
        <v>712</v>
      </c>
      <c r="L17" s="9" t="s">
        <v>713</v>
      </c>
      <c r="M17" s="9" t="s">
        <v>714</v>
      </c>
      <c r="N17" s="9" t="s">
        <v>715</v>
      </c>
      <c r="O17" s="9" t="s">
        <v>716</v>
      </c>
      <c r="P17" s="9" t="s">
        <v>717</v>
      </c>
      <c r="Q17" s="9" t="s">
        <v>718</v>
      </c>
      <c r="R17" s="9" t="s">
        <v>719</v>
      </c>
      <c r="S17" s="9" t="s">
        <v>720</v>
      </c>
      <c r="T17" s="9" t="s">
        <v>721</v>
      </c>
      <c r="U17" s="10" t="s">
        <v>722</v>
      </c>
      <c r="V17" s="164" t="s">
        <v>728</v>
      </c>
      <c r="W17" s="33"/>
    </row>
    <row r="18" spans="1:23" ht="16.5" thickBot="1">
      <c r="A18" s="34"/>
      <c r="B18" s="165" t="s">
        <v>728</v>
      </c>
      <c r="C18" s="15">
        <v>61165</v>
      </c>
      <c r="D18" s="15">
        <v>60890</v>
      </c>
      <c r="E18" s="15">
        <v>60714</v>
      </c>
      <c r="F18" s="15">
        <v>60635</v>
      </c>
      <c r="G18" s="15">
        <v>60655</v>
      </c>
      <c r="H18" s="15">
        <v>60553</v>
      </c>
      <c r="I18" s="15">
        <v>60821</v>
      </c>
      <c r="J18" s="15">
        <v>61198</v>
      </c>
      <c r="K18" s="15">
        <v>61665</v>
      </c>
      <c r="L18" s="15">
        <v>62199</v>
      </c>
      <c r="M18" s="15">
        <v>62759</v>
      </c>
      <c r="N18" s="15">
        <v>63303</v>
      </c>
      <c r="O18" s="15">
        <v>63914</v>
      </c>
      <c r="P18" s="15">
        <v>64615</v>
      </c>
      <c r="Q18" s="15">
        <v>65320</v>
      </c>
      <c r="R18" s="15">
        <v>65993</v>
      </c>
      <c r="S18" s="15">
        <v>66723</v>
      </c>
      <c r="T18" s="15">
        <v>66940</v>
      </c>
      <c r="U18" s="15">
        <v>66381</v>
      </c>
      <c r="V18" s="166">
        <f>SUM(C18:U18)</f>
        <v>1196443</v>
      </c>
      <c r="W18" s="33"/>
    </row>
    <row r="21" spans="1:2" ht="17.25">
      <c r="A21" s="162" t="s">
        <v>534</v>
      </c>
      <c r="B21" s="13" t="s">
        <v>538</v>
      </c>
    </row>
    <row r="22" ht="15.75" thickBot="1"/>
    <row r="23" spans="1:22" ht="16.5" thickBot="1">
      <c r="A23" s="32"/>
      <c r="B23" s="163" t="s">
        <v>727</v>
      </c>
      <c r="C23" s="14" t="s">
        <v>704</v>
      </c>
      <c r="D23" s="9" t="s">
        <v>705</v>
      </c>
      <c r="E23" s="9" t="s">
        <v>706</v>
      </c>
      <c r="F23" s="9" t="s">
        <v>707</v>
      </c>
      <c r="G23" s="9" t="s">
        <v>708</v>
      </c>
      <c r="H23" s="9" t="s">
        <v>709</v>
      </c>
      <c r="I23" s="9" t="s">
        <v>710</v>
      </c>
      <c r="J23" s="9" t="s">
        <v>711</v>
      </c>
      <c r="K23" s="9" t="s">
        <v>712</v>
      </c>
      <c r="L23" s="9" t="s">
        <v>713</v>
      </c>
      <c r="M23" s="9" t="s">
        <v>714</v>
      </c>
      <c r="N23" s="9" t="s">
        <v>715</v>
      </c>
      <c r="O23" s="9" t="s">
        <v>716</v>
      </c>
      <c r="P23" s="9" t="s">
        <v>717</v>
      </c>
      <c r="Q23" s="9" t="s">
        <v>718</v>
      </c>
      <c r="R23" s="9" t="s">
        <v>719</v>
      </c>
      <c r="S23" s="9" t="s">
        <v>720</v>
      </c>
      <c r="T23" s="9" t="s">
        <v>721</v>
      </c>
      <c r="U23" s="10" t="s">
        <v>722</v>
      </c>
      <c r="V23" s="164" t="s">
        <v>729</v>
      </c>
    </row>
    <row r="24" spans="1:22" ht="16.5" thickBot="1">
      <c r="A24" s="34"/>
      <c r="B24" s="165" t="s">
        <v>729</v>
      </c>
      <c r="C24" s="15">
        <v>61165</v>
      </c>
      <c r="D24" s="15">
        <v>60890</v>
      </c>
      <c r="E24" s="15">
        <v>60714</v>
      </c>
      <c r="F24" s="15">
        <v>60635</v>
      </c>
      <c r="G24" s="15">
        <v>60655</v>
      </c>
      <c r="H24" s="15">
        <v>60553</v>
      </c>
      <c r="I24" s="15">
        <v>60821</v>
      </c>
      <c r="J24" s="15">
        <v>61198</v>
      </c>
      <c r="K24" s="15">
        <v>61665</v>
      </c>
      <c r="L24" s="15">
        <v>62199</v>
      </c>
      <c r="M24" s="15">
        <v>62759</v>
      </c>
      <c r="N24" s="15">
        <v>63303</v>
      </c>
      <c r="O24" s="15">
        <v>63914</v>
      </c>
      <c r="P24" s="15">
        <v>64615</v>
      </c>
      <c r="Q24" s="15">
        <v>65320</v>
      </c>
      <c r="R24" s="15">
        <v>65993</v>
      </c>
      <c r="S24" s="15">
        <v>66723</v>
      </c>
      <c r="T24" s="15">
        <v>66940</v>
      </c>
      <c r="U24" s="15">
        <v>66381</v>
      </c>
      <c r="V24" s="166">
        <f>SUM(C24:U24)</f>
        <v>1196443</v>
      </c>
    </row>
    <row r="28" spans="6:14" ht="19.5">
      <c r="F28" s="23"/>
      <c r="G28" s="23"/>
      <c r="H28" s="23"/>
      <c r="I28" s="167" t="s">
        <v>535</v>
      </c>
      <c r="J28" s="23"/>
      <c r="K28" s="23"/>
      <c r="L28" s="23"/>
      <c r="M28" s="23"/>
      <c r="N28" s="23"/>
    </row>
    <row r="31" spans="3:18" ht="17.25">
      <c r="C31" s="24" t="s">
        <v>731</v>
      </c>
      <c r="H31" s="24" t="s">
        <v>732</v>
      </c>
      <c r="M31" s="24" t="s">
        <v>733</v>
      </c>
      <c r="R31" s="24" t="s">
        <v>734</v>
      </c>
    </row>
    <row r="33" spans="3:21" ht="31.5">
      <c r="C33" s="168" t="s">
        <v>727</v>
      </c>
      <c r="D33" s="169" t="s">
        <v>539</v>
      </c>
      <c r="E33" s="169" t="s">
        <v>540</v>
      </c>
      <c r="F33" s="169" t="s">
        <v>541</v>
      </c>
      <c r="G33" s="22"/>
      <c r="H33" s="168" t="s">
        <v>727</v>
      </c>
      <c r="I33" s="169" t="s">
        <v>539</v>
      </c>
      <c r="J33" s="169" t="s">
        <v>540</v>
      </c>
      <c r="K33" s="169" t="s">
        <v>541</v>
      </c>
      <c r="L33" s="22"/>
      <c r="M33" s="168" t="s">
        <v>727</v>
      </c>
      <c r="N33" s="169" t="s">
        <v>539</v>
      </c>
      <c r="O33" s="169" t="s">
        <v>540</v>
      </c>
      <c r="P33" s="169" t="s">
        <v>541</v>
      </c>
      <c r="Q33" s="22"/>
      <c r="R33" s="168" t="s">
        <v>727</v>
      </c>
      <c r="S33" s="169" t="s">
        <v>539</v>
      </c>
      <c r="T33" s="169" t="s">
        <v>540</v>
      </c>
      <c r="U33" s="169" t="s">
        <v>541</v>
      </c>
    </row>
    <row r="34" spans="3:21" ht="15.75">
      <c r="C34" s="168" t="s">
        <v>730</v>
      </c>
      <c r="D34" s="170">
        <f>SUM(D35:D53)</f>
        <v>122832</v>
      </c>
      <c r="E34" s="170">
        <f>SUM(E35:E53)</f>
        <v>60810</v>
      </c>
      <c r="F34" s="170">
        <f>SUM(F35:F53)</f>
        <v>62022</v>
      </c>
      <c r="G34" s="22"/>
      <c r="H34" s="168" t="s">
        <v>730</v>
      </c>
      <c r="I34" s="170">
        <f>SUM(I35:I53)</f>
        <v>26078</v>
      </c>
      <c r="J34" s="170">
        <f>SUM(J35:J53)</f>
        <v>13007</v>
      </c>
      <c r="K34" s="170">
        <f>SUM(K35:K53)</f>
        <v>13071</v>
      </c>
      <c r="L34" s="22"/>
      <c r="M34" s="168" t="s">
        <v>730</v>
      </c>
      <c r="N34" s="170">
        <f>SUM(N35:N53)</f>
        <v>34951</v>
      </c>
      <c r="O34" s="170">
        <f>SUM(O35:O53)</f>
        <v>18517</v>
      </c>
      <c r="P34" s="170">
        <f>SUM(P35:P53)</f>
        <v>16434</v>
      </c>
      <c r="Q34" s="22"/>
      <c r="R34" s="168" t="s">
        <v>730</v>
      </c>
      <c r="S34" s="170">
        <f>SUM(S35:S53)</f>
        <v>146888</v>
      </c>
      <c r="T34" s="170">
        <f>SUM(T35:T53)</f>
        <v>75316</v>
      </c>
      <c r="U34" s="170">
        <f>SUM(U35:U53)</f>
        <v>71572</v>
      </c>
    </row>
    <row r="35" spans="3:22" ht="15.75">
      <c r="C35" s="171" t="s">
        <v>704</v>
      </c>
      <c r="D35" s="36">
        <v>5796</v>
      </c>
      <c r="E35" s="36">
        <v>2873</v>
      </c>
      <c r="F35" s="36">
        <v>2923</v>
      </c>
      <c r="G35" s="5"/>
      <c r="H35" s="171" t="s">
        <v>704</v>
      </c>
      <c r="I35" s="36">
        <v>1298</v>
      </c>
      <c r="J35" s="36">
        <v>648</v>
      </c>
      <c r="K35" s="36">
        <v>650</v>
      </c>
      <c r="L35" s="5"/>
      <c r="M35" s="171" t="s">
        <v>704</v>
      </c>
      <c r="N35" s="36">
        <v>1833</v>
      </c>
      <c r="O35" s="36">
        <v>974</v>
      </c>
      <c r="P35" s="36">
        <v>859</v>
      </c>
      <c r="Q35" s="5"/>
      <c r="R35" s="171" t="s">
        <v>704</v>
      </c>
      <c r="S35" s="36">
        <v>7459</v>
      </c>
      <c r="T35" s="36">
        <v>3827</v>
      </c>
      <c r="U35" s="36">
        <v>3632</v>
      </c>
      <c r="V35" s="35"/>
    </row>
    <row r="36" spans="3:22" ht="15.75">
      <c r="C36" s="171" t="s">
        <v>705</v>
      </c>
      <c r="D36" s="36">
        <v>5817</v>
      </c>
      <c r="E36" s="36">
        <v>2888</v>
      </c>
      <c r="F36" s="36">
        <v>2929</v>
      </c>
      <c r="G36" s="5"/>
      <c r="H36" s="171" t="s">
        <v>705</v>
      </c>
      <c r="I36" s="36">
        <v>1261</v>
      </c>
      <c r="J36" s="36">
        <v>631</v>
      </c>
      <c r="K36" s="36">
        <v>630</v>
      </c>
      <c r="L36" s="5"/>
      <c r="M36" s="171" t="s">
        <v>705</v>
      </c>
      <c r="N36" s="36">
        <v>1804</v>
      </c>
      <c r="O36" s="36">
        <v>958</v>
      </c>
      <c r="P36" s="36">
        <v>846</v>
      </c>
      <c r="Q36" s="5"/>
      <c r="R36" s="171" t="s">
        <v>705</v>
      </c>
      <c r="S36" s="36">
        <v>7390</v>
      </c>
      <c r="T36" s="36">
        <v>3799</v>
      </c>
      <c r="U36" s="36">
        <v>3591</v>
      </c>
      <c r="V36" s="35"/>
    </row>
    <row r="37" spans="3:22" ht="15.75">
      <c r="C37" s="171" t="s">
        <v>706</v>
      </c>
      <c r="D37" s="36">
        <v>5843</v>
      </c>
      <c r="E37" s="36">
        <v>2904</v>
      </c>
      <c r="F37" s="36">
        <v>2939</v>
      </c>
      <c r="G37" s="5"/>
      <c r="H37" s="171" t="s">
        <v>706</v>
      </c>
      <c r="I37" s="36">
        <v>1226</v>
      </c>
      <c r="J37" s="36">
        <v>614</v>
      </c>
      <c r="K37" s="36">
        <v>612</v>
      </c>
      <c r="L37" s="5"/>
      <c r="M37" s="171" t="s">
        <v>706</v>
      </c>
      <c r="N37" s="36">
        <v>1780</v>
      </c>
      <c r="O37" s="36">
        <v>946</v>
      </c>
      <c r="P37" s="36">
        <v>834</v>
      </c>
      <c r="Q37" s="5"/>
      <c r="R37" s="171" t="s">
        <v>706</v>
      </c>
      <c r="S37" s="36">
        <v>7348</v>
      </c>
      <c r="T37" s="36">
        <v>3781</v>
      </c>
      <c r="U37" s="36">
        <v>3567</v>
      </c>
      <c r="V37" s="35"/>
    </row>
    <row r="38" spans="3:22" ht="15.75">
      <c r="C38" s="171" t="s">
        <v>707</v>
      </c>
      <c r="D38" s="36">
        <v>5873</v>
      </c>
      <c r="E38" s="36">
        <v>2921</v>
      </c>
      <c r="F38" s="36">
        <v>2952</v>
      </c>
      <c r="H38" s="171" t="s">
        <v>707</v>
      </c>
      <c r="I38" s="36">
        <v>1195</v>
      </c>
      <c r="J38" s="36">
        <v>599</v>
      </c>
      <c r="K38" s="36">
        <v>596</v>
      </c>
      <c r="M38" s="171" t="s">
        <v>707</v>
      </c>
      <c r="N38" s="36">
        <v>1762</v>
      </c>
      <c r="O38" s="36">
        <v>937</v>
      </c>
      <c r="P38" s="36">
        <v>825</v>
      </c>
      <c r="R38" s="171" t="s">
        <v>707</v>
      </c>
      <c r="S38" s="36">
        <v>7332</v>
      </c>
      <c r="T38" s="36">
        <v>3775</v>
      </c>
      <c r="U38" s="36">
        <v>3557</v>
      </c>
      <c r="V38" s="35"/>
    </row>
    <row r="39" spans="3:22" ht="15.75">
      <c r="C39" s="171" t="s">
        <v>708</v>
      </c>
      <c r="D39" s="36">
        <v>5906</v>
      </c>
      <c r="E39" s="36">
        <v>2938</v>
      </c>
      <c r="F39" s="36">
        <v>2968</v>
      </c>
      <c r="H39" s="171" t="s">
        <v>708</v>
      </c>
      <c r="I39" s="36">
        <v>1167</v>
      </c>
      <c r="J39" s="36">
        <v>585</v>
      </c>
      <c r="K39" s="36">
        <v>582</v>
      </c>
      <c r="M39" s="171" t="s">
        <v>708</v>
      </c>
      <c r="N39" s="36">
        <v>1750</v>
      </c>
      <c r="O39" s="36">
        <v>931</v>
      </c>
      <c r="P39" s="36">
        <v>819</v>
      </c>
      <c r="R39" s="171" t="s">
        <v>708</v>
      </c>
      <c r="S39" s="36">
        <v>7342</v>
      </c>
      <c r="T39" s="36">
        <v>3781</v>
      </c>
      <c r="U39" s="36">
        <v>3561</v>
      </c>
      <c r="V39" s="35"/>
    </row>
    <row r="40" spans="3:22" ht="15.75">
      <c r="C40" s="171" t="s">
        <v>709</v>
      </c>
      <c r="D40" s="36">
        <v>5963</v>
      </c>
      <c r="E40" s="36">
        <v>2968</v>
      </c>
      <c r="F40" s="36">
        <v>2995</v>
      </c>
      <c r="H40" s="171" t="s">
        <v>709</v>
      </c>
      <c r="I40" s="36">
        <v>1168</v>
      </c>
      <c r="J40" s="36">
        <v>586</v>
      </c>
      <c r="K40" s="36">
        <v>582</v>
      </c>
      <c r="M40" s="171" t="s">
        <v>709</v>
      </c>
      <c r="N40" s="36">
        <v>1734</v>
      </c>
      <c r="O40" s="36">
        <v>923</v>
      </c>
      <c r="P40" s="36">
        <v>811</v>
      </c>
      <c r="R40" s="171" t="s">
        <v>709</v>
      </c>
      <c r="S40" s="36">
        <v>7295</v>
      </c>
      <c r="T40" s="36">
        <v>3759</v>
      </c>
      <c r="U40" s="36">
        <v>3536</v>
      </c>
      <c r="V40" s="35"/>
    </row>
    <row r="41" spans="3:22" ht="15.75">
      <c r="C41" s="171" t="s">
        <v>710</v>
      </c>
      <c r="D41" s="36">
        <v>6007</v>
      </c>
      <c r="E41" s="36">
        <v>2988</v>
      </c>
      <c r="F41" s="36">
        <v>3019</v>
      </c>
      <c r="H41" s="171" t="s">
        <v>710</v>
      </c>
      <c r="I41" s="36">
        <v>1148</v>
      </c>
      <c r="J41" s="36">
        <v>575</v>
      </c>
      <c r="K41" s="36">
        <v>573</v>
      </c>
      <c r="M41" s="171" t="s">
        <v>710</v>
      </c>
      <c r="N41" s="36">
        <v>1737</v>
      </c>
      <c r="O41" s="36">
        <v>924</v>
      </c>
      <c r="P41" s="36">
        <v>813</v>
      </c>
      <c r="R41" s="171" t="s">
        <v>710</v>
      </c>
      <c r="S41" s="36">
        <v>7371</v>
      </c>
      <c r="T41" s="36">
        <v>3796</v>
      </c>
      <c r="U41" s="36">
        <v>3575</v>
      </c>
      <c r="V41" s="35"/>
    </row>
    <row r="42" spans="3:22" ht="15.75">
      <c r="C42" s="171" t="s">
        <v>711</v>
      </c>
      <c r="D42" s="36">
        <v>6059</v>
      </c>
      <c r="E42" s="36">
        <v>3011</v>
      </c>
      <c r="F42" s="36">
        <v>3048</v>
      </c>
      <c r="H42" s="171" t="s">
        <v>711</v>
      </c>
      <c r="I42" s="36">
        <v>1134</v>
      </c>
      <c r="J42" s="36">
        <v>568</v>
      </c>
      <c r="K42" s="36">
        <v>566</v>
      </c>
      <c r="M42" s="171" t="s">
        <v>711</v>
      </c>
      <c r="N42" s="36">
        <v>1746</v>
      </c>
      <c r="O42" s="36">
        <v>928</v>
      </c>
      <c r="P42" s="36">
        <v>818</v>
      </c>
      <c r="R42" s="171" t="s">
        <v>711</v>
      </c>
      <c r="S42" s="36">
        <v>7473</v>
      </c>
      <c r="T42" s="36">
        <v>3845</v>
      </c>
      <c r="U42" s="36">
        <v>3628</v>
      </c>
      <c r="V42" s="35"/>
    </row>
    <row r="43" spans="3:22" ht="15.75">
      <c r="C43" s="171" t="s">
        <v>712</v>
      </c>
      <c r="D43" s="36">
        <v>6121</v>
      </c>
      <c r="E43" s="36">
        <v>3038</v>
      </c>
      <c r="F43" s="36">
        <v>3083</v>
      </c>
      <c r="H43" s="171" t="s">
        <v>712</v>
      </c>
      <c r="I43" s="36">
        <v>1129</v>
      </c>
      <c r="J43" s="36">
        <v>565</v>
      </c>
      <c r="K43" s="36">
        <v>564</v>
      </c>
      <c r="M43" s="171" t="s">
        <v>712</v>
      </c>
      <c r="N43" s="36">
        <v>1761</v>
      </c>
      <c r="O43" s="36">
        <v>935</v>
      </c>
      <c r="P43" s="36">
        <v>826</v>
      </c>
      <c r="R43" s="171" t="s">
        <v>712</v>
      </c>
      <c r="S43" s="36">
        <v>7593</v>
      </c>
      <c r="T43" s="36">
        <v>3902</v>
      </c>
      <c r="U43" s="36">
        <v>3691</v>
      </c>
      <c r="V43" s="35"/>
    </row>
    <row r="44" spans="3:22" ht="15.75">
      <c r="C44" s="171" t="s">
        <v>713</v>
      </c>
      <c r="D44" s="36">
        <v>6197</v>
      </c>
      <c r="E44" s="36">
        <v>3072</v>
      </c>
      <c r="F44" s="36">
        <v>3125</v>
      </c>
      <c r="H44" s="171" t="s">
        <v>713</v>
      </c>
      <c r="I44" s="36">
        <v>1135</v>
      </c>
      <c r="J44" s="36">
        <v>567</v>
      </c>
      <c r="K44" s="36">
        <v>568</v>
      </c>
      <c r="M44" s="171" t="s">
        <v>713</v>
      </c>
      <c r="N44" s="36">
        <v>1781</v>
      </c>
      <c r="O44" s="36">
        <v>944</v>
      </c>
      <c r="P44" s="36">
        <v>837</v>
      </c>
      <c r="R44" s="171" t="s">
        <v>713</v>
      </c>
      <c r="S44" s="36">
        <v>7721</v>
      </c>
      <c r="T44" s="36">
        <v>3963</v>
      </c>
      <c r="U44" s="36">
        <v>3758</v>
      </c>
      <c r="V44" s="35"/>
    </row>
    <row r="45" spans="3:22" ht="15.75">
      <c r="C45" s="171" t="s">
        <v>714</v>
      </c>
      <c r="D45" s="36">
        <v>6274</v>
      </c>
      <c r="E45" s="36">
        <v>3105</v>
      </c>
      <c r="F45" s="36">
        <v>3169</v>
      </c>
      <c r="H45" s="171" t="s">
        <v>714</v>
      </c>
      <c r="I45" s="36">
        <v>1149</v>
      </c>
      <c r="J45" s="36">
        <v>573</v>
      </c>
      <c r="K45" s="36">
        <v>576</v>
      </c>
      <c r="M45" s="171" t="s">
        <v>714</v>
      </c>
      <c r="N45" s="36">
        <v>1804</v>
      </c>
      <c r="O45" s="36">
        <v>955</v>
      </c>
      <c r="P45" s="36">
        <v>849</v>
      </c>
      <c r="R45" s="171" t="s">
        <v>714</v>
      </c>
      <c r="S45" s="36">
        <v>7856</v>
      </c>
      <c r="T45" s="36">
        <v>4026</v>
      </c>
      <c r="U45" s="36">
        <v>3830</v>
      </c>
      <c r="V45" s="35"/>
    </row>
    <row r="46" spans="3:22" ht="15.75">
      <c r="C46" s="171" t="s">
        <v>715</v>
      </c>
      <c r="D46" s="36">
        <v>6339</v>
      </c>
      <c r="E46" s="36">
        <v>3131</v>
      </c>
      <c r="F46" s="36">
        <v>3208</v>
      </c>
      <c r="H46" s="171" t="s">
        <v>715</v>
      </c>
      <c r="I46" s="36">
        <v>1161</v>
      </c>
      <c r="J46" s="36">
        <v>578</v>
      </c>
      <c r="K46" s="36">
        <v>583</v>
      </c>
      <c r="M46" s="171" t="s">
        <v>715</v>
      </c>
      <c r="N46" s="36">
        <v>1828</v>
      </c>
      <c r="O46" s="36">
        <v>966</v>
      </c>
      <c r="P46" s="36">
        <v>862</v>
      </c>
      <c r="R46" s="171" t="s">
        <v>715</v>
      </c>
      <c r="S46" s="36">
        <v>7995</v>
      </c>
      <c r="T46" s="36">
        <v>4090</v>
      </c>
      <c r="U46" s="36">
        <v>3905</v>
      </c>
      <c r="V46" s="35"/>
    </row>
    <row r="47" spans="3:22" ht="15.75">
      <c r="C47" s="171" t="s">
        <v>716</v>
      </c>
      <c r="D47" s="36">
        <v>6471</v>
      </c>
      <c r="E47" s="36">
        <v>3192</v>
      </c>
      <c r="F47" s="36">
        <v>3279</v>
      </c>
      <c r="H47" s="171" t="s">
        <v>716</v>
      </c>
      <c r="I47" s="36">
        <v>1221</v>
      </c>
      <c r="J47" s="36">
        <v>607</v>
      </c>
      <c r="K47" s="36">
        <v>614</v>
      </c>
      <c r="M47" s="171" t="s">
        <v>716</v>
      </c>
      <c r="N47" s="36">
        <v>1856</v>
      </c>
      <c r="O47" s="36">
        <v>980</v>
      </c>
      <c r="P47" s="36">
        <v>876</v>
      </c>
      <c r="R47" s="171" t="s">
        <v>716</v>
      </c>
      <c r="S47" s="36">
        <v>8100</v>
      </c>
      <c r="T47" s="36">
        <v>4139</v>
      </c>
      <c r="U47" s="36">
        <v>3961</v>
      </c>
      <c r="V47" s="35"/>
    </row>
    <row r="48" spans="3:22" ht="15.75">
      <c r="C48" s="171" t="s">
        <v>717</v>
      </c>
      <c r="D48" s="36">
        <v>6704</v>
      </c>
      <c r="E48" s="36">
        <v>3307</v>
      </c>
      <c r="F48" s="36">
        <v>3397</v>
      </c>
      <c r="H48" s="171" t="s">
        <v>717</v>
      </c>
      <c r="I48" s="36">
        <v>1352</v>
      </c>
      <c r="J48" s="36">
        <v>672</v>
      </c>
      <c r="K48" s="36">
        <v>680</v>
      </c>
      <c r="M48" s="171" t="s">
        <v>717</v>
      </c>
      <c r="N48" s="36">
        <v>1889</v>
      </c>
      <c r="O48" s="36">
        <v>997</v>
      </c>
      <c r="P48" s="36">
        <v>892</v>
      </c>
      <c r="R48" s="171" t="s">
        <v>717</v>
      </c>
      <c r="S48" s="36">
        <v>8150</v>
      </c>
      <c r="T48" s="36">
        <v>4164</v>
      </c>
      <c r="U48" s="36">
        <v>3986</v>
      </c>
      <c r="V48" s="35"/>
    </row>
    <row r="49" spans="3:22" ht="15.75">
      <c r="C49" s="171" t="s">
        <v>718</v>
      </c>
      <c r="D49" s="36">
        <v>6993</v>
      </c>
      <c r="E49" s="36">
        <v>3451</v>
      </c>
      <c r="F49" s="36">
        <v>3542</v>
      </c>
      <c r="H49" s="171" t="s">
        <v>718</v>
      </c>
      <c r="I49" s="36">
        <v>1527</v>
      </c>
      <c r="J49" s="36">
        <v>760</v>
      </c>
      <c r="K49" s="36">
        <v>767</v>
      </c>
      <c r="M49" s="171" t="s">
        <v>718</v>
      </c>
      <c r="N49" s="36">
        <v>1923</v>
      </c>
      <c r="O49" s="36">
        <v>1016</v>
      </c>
      <c r="P49" s="36">
        <v>907</v>
      </c>
      <c r="R49" s="171" t="s">
        <v>718</v>
      </c>
      <c r="S49" s="36">
        <v>8155</v>
      </c>
      <c r="T49" s="36">
        <v>4168</v>
      </c>
      <c r="U49" s="36">
        <v>3987</v>
      </c>
      <c r="V49" s="35"/>
    </row>
    <row r="50" spans="3:22" ht="15.75">
      <c r="C50" s="171" t="s">
        <v>719</v>
      </c>
      <c r="D50" s="36">
        <v>7275</v>
      </c>
      <c r="E50" s="36">
        <v>3590</v>
      </c>
      <c r="F50" s="36">
        <v>3685</v>
      </c>
      <c r="H50" s="171" t="s">
        <v>719</v>
      </c>
      <c r="I50" s="36">
        <v>1701</v>
      </c>
      <c r="J50" s="36">
        <v>846</v>
      </c>
      <c r="K50" s="36">
        <v>855</v>
      </c>
      <c r="M50" s="171" t="s">
        <v>719</v>
      </c>
      <c r="N50" s="36">
        <v>1956</v>
      </c>
      <c r="O50" s="36">
        <v>1033</v>
      </c>
      <c r="P50" s="36">
        <v>923</v>
      </c>
      <c r="R50" s="171" t="s">
        <v>719</v>
      </c>
      <c r="S50" s="36">
        <v>8160</v>
      </c>
      <c r="T50" s="36">
        <v>4170</v>
      </c>
      <c r="U50" s="36">
        <v>3990</v>
      </c>
      <c r="V50" s="35"/>
    </row>
    <row r="51" spans="3:22" ht="15.75">
      <c r="C51" s="171" t="s">
        <v>720</v>
      </c>
      <c r="D51" s="36">
        <v>7576</v>
      </c>
      <c r="E51" s="36">
        <v>3735</v>
      </c>
      <c r="F51" s="36">
        <v>3841</v>
      </c>
      <c r="H51" s="171" t="s">
        <v>720</v>
      </c>
      <c r="I51" s="36">
        <v>1882</v>
      </c>
      <c r="J51" s="36">
        <v>935</v>
      </c>
      <c r="K51" s="36">
        <v>947</v>
      </c>
      <c r="M51" s="171" t="s">
        <v>720</v>
      </c>
      <c r="N51" s="36">
        <v>1993</v>
      </c>
      <c r="O51" s="36">
        <v>1052</v>
      </c>
      <c r="P51" s="36">
        <v>941</v>
      </c>
      <c r="R51" s="171" t="s">
        <v>720</v>
      </c>
      <c r="S51" s="36">
        <v>8174</v>
      </c>
      <c r="T51" s="36">
        <v>4175</v>
      </c>
      <c r="U51" s="36">
        <v>3999</v>
      </c>
      <c r="V51" s="35"/>
    </row>
    <row r="52" spans="3:22" ht="15.75">
      <c r="C52" s="171" t="s">
        <v>721</v>
      </c>
      <c r="D52" s="36">
        <v>7782</v>
      </c>
      <c r="E52" s="36">
        <v>3835</v>
      </c>
      <c r="F52" s="36">
        <v>3947</v>
      </c>
      <c r="H52" s="171" t="s">
        <v>721</v>
      </c>
      <c r="I52" s="36">
        <v>2046</v>
      </c>
      <c r="J52" s="36">
        <v>1016</v>
      </c>
      <c r="K52" s="36">
        <v>1030</v>
      </c>
      <c r="M52" s="171" t="s">
        <v>721</v>
      </c>
      <c r="N52" s="36">
        <v>2011</v>
      </c>
      <c r="O52" s="36">
        <v>1061</v>
      </c>
      <c r="P52" s="36">
        <v>950</v>
      </c>
      <c r="R52" s="171" t="s">
        <v>721</v>
      </c>
      <c r="S52" s="36">
        <v>8095</v>
      </c>
      <c r="T52" s="36">
        <v>4133</v>
      </c>
      <c r="U52" s="36">
        <v>3962</v>
      </c>
      <c r="V52" s="35"/>
    </row>
    <row r="53" spans="3:22" ht="15.75">
      <c r="C53" s="171" t="s">
        <v>722</v>
      </c>
      <c r="D53" s="36">
        <v>7836</v>
      </c>
      <c r="E53" s="36">
        <v>3863</v>
      </c>
      <c r="F53" s="36">
        <v>3973</v>
      </c>
      <c r="H53" s="171" t="s">
        <v>722</v>
      </c>
      <c r="I53" s="36">
        <v>2178</v>
      </c>
      <c r="J53" s="36">
        <v>1082</v>
      </c>
      <c r="K53" s="36">
        <v>1096</v>
      </c>
      <c r="M53" s="171" t="s">
        <v>722</v>
      </c>
      <c r="N53" s="36">
        <v>2003</v>
      </c>
      <c r="O53" s="36">
        <v>1057</v>
      </c>
      <c r="P53" s="36">
        <v>946</v>
      </c>
      <c r="R53" s="171" t="s">
        <v>722</v>
      </c>
      <c r="S53" s="36">
        <v>7879</v>
      </c>
      <c r="T53" s="36">
        <v>4023</v>
      </c>
      <c r="U53" s="36">
        <v>3856</v>
      </c>
      <c r="V53" s="37"/>
    </row>
    <row r="55" spans="4:22" ht="15">
      <c r="D55" s="38"/>
      <c r="E55" s="38"/>
      <c r="F55" s="38"/>
      <c r="I55" s="38"/>
      <c r="J55" s="38"/>
      <c r="K55" s="38"/>
      <c r="N55" s="38"/>
      <c r="O55" s="38"/>
      <c r="P55" s="38"/>
      <c r="V55" s="39"/>
    </row>
    <row r="57" spans="3:18" ht="17.25">
      <c r="C57" s="24" t="s">
        <v>735</v>
      </c>
      <c r="H57" s="24" t="s">
        <v>736</v>
      </c>
      <c r="M57" s="24" t="s">
        <v>737</v>
      </c>
      <c r="R57" s="24" t="s">
        <v>738</v>
      </c>
    </row>
    <row r="58" spans="2:23" ht="15">
      <c r="B58" s="5"/>
      <c r="V58" s="5"/>
      <c r="W58" s="5"/>
    </row>
    <row r="59" spans="2:23" ht="31.5">
      <c r="B59" s="40"/>
      <c r="C59" s="168" t="s">
        <v>727</v>
      </c>
      <c r="D59" s="169" t="s">
        <v>539</v>
      </c>
      <c r="E59" s="169" t="s">
        <v>540</v>
      </c>
      <c r="F59" s="169" t="s">
        <v>541</v>
      </c>
      <c r="G59" s="22"/>
      <c r="H59" s="168" t="s">
        <v>727</v>
      </c>
      <c r="I59" s="169" t="s">
        <v>539</v>
      </c>
      <c r="J59" s="169" t="s">
        <v>540</v>
      </c>
      <c r="K59" s="169" t="s">
        <v>541</v>
      </c>
      <c r="L59" s="22"/>
      <c r="M59" s="168" t="s">
        <v>727</v>
      </c>
      <c r="N59" s="169" t="s">
        <v>539</v>
      </c>
      <c r="O59" s="169" t="s">
        <v>540</v>
      </c>
      <c r="P59" s="169" t="s">
        <v>541</v>
      </c>
      <c r="Q59" s="22"/>
      <c r="R59" s="168" t="s">
        <v>727</v>
      </c>
      <c r="S59" s="169" t="s">
        <v>539</v>
      </c>
      <c r="T59" s="169" t="s">
        <v>540</v>
      </c>
      <c r="U59" s="169" t="s">
        <v>541</v>
      </c>
      <c r="V59" s="5"/>
      <c r="W59" s="5"/>
    </row>
    <row r="60" spans="2:23" ht="15.75">
      <c r="B60" s="40"/>
      <c r="C60" s="168" t="s">
        <v>730</v>
      </c>
      <c r="D60" s="170">
        <f>SUM(D61:D79)</f>
        <v>144358</v>
      </c>
      <c r="E60" s="170">
        <f>SUM(E61:E79)</f>
        <v>74407</v>
      </c>
      <c r="F60" s="170">
        <f>SUM(F61:F79)</f>
        <v>69951</v>
      </c>
      <c r="G60" s="22"/>
      <c r="H60" s="168" t="s">
        <v>730</v>
      </c>
      <c r="I60" s="170">
        <f>SUM(I61:I79)</f>
        <v>66083</v>
      </c>
      <c r="J60" s="170">
        <f>SUM(J61:J79)</f>
        <v>34369</v>
      </c>
      <c r="K60" s="170">
        <f>SUM(K61:K79)</f>
        <v>31714</v>
      </c>
      <c r="L60" s="22"/>
      <c r="M60" s="168" t="s">
        <v>730</v>
      </c>
      <c r="N60" s="170">
        <f>SUM(N61:N79)</f>
        <v>211611</v>
      </c>
      <c r="O60" s="170">
        <f>SUM(O61:O79)</f>
        <v>108562</v>
      </c>
      <c r="P60" s="170">
        <f>SUM(P61:P79)</f>
        <v>103049</v>
      </c>
      <c r="Q60" s="22"/>
      <c r="R60" s="168" t="s">
        <v>730</v>
      </c>
      <c r="S60" s="170">
        <f>SUM(S61:S79)</f>
        <v>329183</v>
      </c>
      <c r="T60" s="170">
        <f>SUM(T61:T79)</f>
        <v>168816</v>
      </c>
      <c r="U60" s="170">
        <f>SUM(U61:U79)</f>
        <v>160367</v>
      </c>
      <c r="V60" s="21"/>
      <c r="W60" s="5"/>
    </row>
    <row r="61" spans="2:23" ht="15.75">
      <c r="B61" s="20"/>
      <c r="C61" s="171" t="s">
        <v>704</v>
      </c>
      <c r="D61" s="36">
        <v>7349</v>
      </c>
      <c r="E61" s="36">
        <v>3792</v>
      </c>
      <c r="F61" s="36">
        <v>3557</v>
      </c>
      <c r="G61" s="5"/>
      <c r="H61" s="171" t="s">
        <v>704</v>
      </c>
      <c r="I61" s="36">
        <v>3263</v>
      </c>
      <c r="J61" s="36">
        <v>1697</v>
      </c>
      <c r="K61" s="36">
        <v>1566</v>
      </c>
      <c r="L61" s="5"/>
      <c r="M61" s="171" t="s">
        <v>704</v>
      </c>
      <c r="N61" s="36">
        <v>10856</v>
      </c>
      <c r="O61" s="36">
        <v>5573</v>
      </c>
      <c r="P61" s="36">
        <v>5283</v>
      </c>
      <c r="Q61" s="5"/>
      <c r="R61" s="171" t="s">
        <v>704</v>
      </c>
      <c r="S61" s="36">
        <v>17845</v>
      </c>
      <c r="T61" s="36">
        <v>9167</v>
      </c>
      <c r="U61" s="36">
        <v>8678</v>
      </c>
      <c r="V61" s="35"/>
      <c r="W61" s="5"/>
    </row>
    <row r="62" spans="2:23" ht="15.75">
      <c r="B62" s="20"/>
      <c r="C62" s="171" t="s">
        <v>705</v>
      </c>
      <c r="D62" s="36">
        <v>7323</v>
      </c>
      <c r="E62" s="36">
        <v>3784</v>
      </c>
      <c r="F62" s="36">
        <v>3539</v>
      </c>
      <c r="G62" s="5"/>
      <c r="H62" s="171" t="s">
        <v>705</v>
      </c>
      <c r="I62" s="36">
        <v>3258</v>
      </c>
      <c r="J62" s="36">
        <v>1699</v>
      </c>
      <c r="K62" s="36">
        <v>1559</v>
      </c>
      <c r="L62" s="5"/>
      <c r="M62" s="171" t="s">
        <v>705</v>
      </c>
      <c r="N62" s="36">
        <v>10939</v>
      </c>
      <c r="O62" s="36">
        <v>5626</v>
      </c>
      <c r="P62" s="36">
        <v>5313</v>
      </c>
      <c r="Q62" s="5"/>
      <c r="R62" s="171" t="s">
        <v>705</v>
      </c>
      <c r="S62" s="36">
        <v>17557</v>
      </c>
      <c r="T62" s="36">
        <v>9026</v>
      </c>
      <c r="U62" s="36">
        <v>8531</v>
      </c>
      <c r="V62" s="35"/>
      <c r="W62" s="5"/>
    </row>
    <row r="63" spans="2:22" ht="15.75">
      <c r="B63" s="20"/>
      <c r="C63" s="171" t="s">
        <v>706</v>
      </c>
      <c r="D63" s="36">
        <v>7312</v>
      </c>
      <c r="E63" s="36">
        <v>3782</v>
      </c>
      <c r="F63" s="36">
        <v>3530</v>
      </c>
      <c r="G63" s="5"/>
      <c r="H63" s="171" t="s">
        <v>706</v>
      </c>
      <c r="I63" s="36">
        <v>3254</v>
      </c>
      <c r="J63" s="36">
        <v>1698</v>
      </c>
      <c r="K63" s="36">
        <v>1556</v>
      </c>
      <c r="L63" s="5"/>
      <c r="M63" s="171" t="s">
        <v>706</v>
      </c>
      <c r="N63" s="36">
        <v>11014</v>
      </c>
      <c r="O63" s="36">
        <v>5670</v>
      </c>
      <c r="P63" s="36">
        <v>5344</v>
      </c>
      <c r="Q63" s="5"/>
      <c r="R63" s="171" t="s">
        <v>706</v>
      </c>
      <c r="S63" s="36">
        <v>17339</v>
      </c>
      <c r="T63" s="36">
        <v>8923</v>
      </c>
      <c r="U63" s="36">
        <v>8416</v>
      </c>
      <c r="V63" s="35"/>
    </row>
    <row r="64" spans="2:22" ht="15.75">
      <c r="B64" s="20"/>
      <c r="C64" s="171" t="s">
        <v>707</v>
      </c>
      <c r="D64" s="36">
        <v>7320</v>
      </c>
      <c r="E64" s="36">
        <v>3788</v>
      </c>
      <c r="F64" s="36">
        <v>3532</v>
      </c>
      <c r="H64" s="171" t="s">
        <v>707</v>
      </c>
      <c r="I64" s="36">
        <v>3256</v>
      </c>
      <c r="J64" s="36">
        <v>1700</v>
      </c>
      <c r="K64" s="36">
        <v>1556</v>
      </c>
      <c r="M64" s="171" t="s">
        <v>707</v>
      </c>
      <c r="N64" s="36">
        <v>11084</v>
      </c>
      <c r="O64" s="36">
        <v>5709</v>
      </c>
      <c r="P64" s="36">
        <v>5375</v>
      </c>
      <c r="R64" s="171" t="s">
        <v>707</v>
      </c>
      <c r="S64" s="36">
        <v>17162</v>
      </c>
      <c r="T64" s="36">
        <v>8836</v>
      </c>
      <c r="U64" s="36">
        <v>8326</v>
      </c>
      <c r="V64" s="35"/>
    </row>
    <row r="65" spans="2:22" ht="15.75">
      <c r="B65" s="20"/>
      <c r="C65" s="171" t="s">
        <v>708</v>
      </c>
      <c r="D65" s="36">
        <v>7345</v>
      </c>
      <c r="E65" s="36">
        <v>3802</v>
      </c>
      <c r="F65" s="36">
        <v>3543</v>
      </c>
      <c r="H65" s="171" t="s">
        <v>708</v>
      </c>
      <c r="I65" s="36">
        <v>3262</v>
      </c>
      <c r="J65" s="36">
        <v>1704</v>
      </c>
      <c r="K65" s="36">
        <v>1558</v>
      </c>
      <c r="M65" s="171" t="s">
        <v>708</v>
      </c>
      <c r="N65" s="36">
        <v>11148</v>
      </c>
      <c r="O65" s="36">
        <v>5743</v>
      </c>
      <c r="P65" s="36">
        <v>5405</v>
      </c>
      <c r="R65" s="171" t="s">
        <v>708</v>
      </c>
      <c r="S65" s="36">
        <v>17037</v>
      </c>
      <c r="T65" s="36">
        <v>8775</v>
      </c>
      <c r="U65" s="36">
        <v>8262</v>
      </c>
      <c r="V65" s="35"/>
    </row>
    <row r="66" spans="2:22" ht="15.75">
      <c r="B66" s="20"/>
      <c r="C66" s="171" t="s">
        <v>709</v>
      </c>
      <c r="D66" s="36">
        <v>7314</v>
      </c>
      <c r="E66" s="36">
        <v>3788</v>
      </c>
      <c r="F66" s="36">
        <v>3526</v>
      </c>
      <c r="H66" s="171" t="s">
        <v>709</v>
      </c>
      <c r="I66" s="36">
        <v>3266</v>
      </c>
      <c r="J66" s="36">
        <v>1707</v>
      </c>
      <c r="K66" s="36">
        <v>1559</v>
      </c>
      <c r="M66" s="171" t="s">
        <v>709</v>
      </c>
      <c r="N66" s="36">
        <v>11176</v>
      </c>
      <c r="O66" s="36">
        <v>5761</v>
      </c>
      <c r="P66" s="36">
        <v>5415</v>
      </c>
      <c r="R66" s="171" t="s">
        <v>709</v>
      </c>
      <c r="S66" s="36">
        <v>16863</v>
      </c>
      <c r="T66" s="36">
        <v>8690</v>
      </c>
      <c r="U66" s="36">
        <v>8173</v>
      </c>
      <c r="V66" s="35"/>
    </row>
    <row r="67" spans="2:22" ht="15.75">
      <c r="B67" s="20"/>
      <c r="C67" s="171" t="s">
        <v>710</v>
      </c>
      <c r="D67" s="36">
        <v>7388</v>
      </c>
      <c r="E67" s="36">
        <v>3824</v>
      </c>
      <c r="F67" s="36">
        <v>3564</v>
      </c>
      <c r="H67" s="171" t="s">
        <v>710</v>
      </c>
      <c r="I67" s="36">
        <v>3285</v>
      </c>
      <c r="J67" s="36">
        <v>1716</v>
      </c>
      <c r="K67" s="36">
        <v>1569</v>
      </c>
      <c r="M67" s="171" t="s">
        <v>710</v>
      </c>
      <c r="N67" s="36">
        <v>11235</v>
      </c>
      <c r="O67" s="36">
        <v>5788</v>
      </c>
      <c r="P67" s="36">
        <v>5447</v>
      </c>
      <c r="R67" s="171" t="s">
        <v>710</v>
      </c>
      <c r="S67" s="36">
        <v>16848</v>
      </c>
      <c r="T67" s="36">
        <v>8677</v>
      </c>
      <c r="U67" s="36">
        <v>8171</v>
      </c>
      <c r="V67" s="35"/>
    </row>
    <row r="68" spans="2:22" ht="15.75">
      <c r="B68" s="20"/>
      <c r="C68" s="171" t="s">
        <v>711</v>
      </c>
      <c r="D68" s="36">
        <v>7480</v>
      </c>
      <c r="E68" s="36">
        <v>3868</v>
      </c>
      <c r="F68" s="36">
        <v>3612</v>
      </c>
      <c r="H68" s="171" t="s">
        <v>711</v>
      </c>
      <c r="I68" s="36">
        <v>3313</v>
      </c>
      <c r="J68" s="36">
        <v>1729</v>
      </c>
      <c r="K68" s="36">
        <v>1584</v>
      </c>
      <c r="M68" s="171" t="s">
        <v>711</v>
      </c>
      <c r="N68" s="36">
        <v>11290</v>
      </c>
      <c r="O68" s="36">
        <v>5811</v>
      </c>
      <c r="P68" s="36">
        <v>5479</v>
      </c>
      <c r="R68" s="171" t="s">
        <v>711</v>
      </c>
      <c r="S68" s="36">
        <v>16879</v>
      </c>
      <c r="T68" s="36">
        <v>8685</v>
      </c>
      <c r="U68" s="36">
        <v>8194</v>
      </c>
      <c r="V68" s="35"/>
    </row>
    <row r="69" spans="2:22" ht="15.75">
      <c r="B69" s="20"/>
      <c r="C69" s="171" t="s">
        <v>712</v>
      </c>
      <c r="D69" s="36">
        <v>7582</v>
      </c>
      <c r="E69" s="36">
        <v>3916</v>
      </c>
      <c r="F69" s="36">
        <v>3666</v>
      </c>
      <c r="H69" s="171" t="s">
        <v>712</v>
      </c>
      <c r="I69" s="36">
        <v>3346</v>
      </c>
      <c r="J69" s="36">
        <v>1744</v>
      </c>
      <c r="K69" s="36">
        <v>1602</v>
      </c>
      <c r="M69" s="171" t="s">
        <v>712</v>
      </c>
      <c r="N69" s="36">
        <v>11336</v>
      </c>
      <c r="O69" s="36">
        <v>5828</v>
      </c>
      <c r="P69" s="36">
        <v>5508</v>
      </c>
      <c r="R69" s="171" t="s">
        <v>712</v>
      </c>
      <c r="S69" s="36">
        <v>16950</v>
      </c>
      <c r="T69" s="36">
        <v>8712</v>
      </c>
      <c r="U69" s="36">
        <v>8238</v>
      </c>
      <c r="V69" s="35"/>
    </row>
    <row r="70" spans="2:22" ht="15.75">
      <c r="B70" s="20"/>
      <c r="C70" s="171" t="s">
        <v>713</v>
      </c>
      <c r="D70" s="36">
        <v>7686</v>
      </c>
      <c r="E70" s="36">
        <v>3965</v>
      </c>
      <c r="F70" s="36">
        <v>3721</v>
      </c>
      <c r="H70" s="171" t="s">
        <v>713</v>
      </c>
      <c r="I70" s="36">
        <v>3384</v>
      </c>
      <c r="J70" s="36">
        <v>1762</v>
      </c>
      <c r="K70" s="36">
        <v>1622</v>
      </c>
      <c r="M70" s="171" t="s">
        <v>713</v>
      </c>
      <c r="N70" s="36">
        <v>11369</v>
      </c>
      <c r="O70" s="36">
        <v>5838</v>
      </c>
      <c r="P70" s="36">
        <v>5531</v>
      </c>
      <c r="R70" s="171" t="s">
        <v>713</v>
      </c>
      <c r="S70" s="36">
        <v>17047</v>
      </c>
      <c r="T70" s="36">
        <v>8750</v>
      </c>
      <c r="U70" s="36">
        <v>8297</v>
      </c>
      <c r="V70" s="35"/>
    </row>
    <row r="71" spans="2:22" ht="15.75">
      <c r="B71" s="20"/>
      <c r="C71" s="171" t="s">
        <v>714</v>
      </c>
      <c r="D71" s="36">
        <v>7792</v>
      </c>
      <c r="E71" s="36">
        <v>4014</v>
      </c>
      <c r="F71" s="36">
        <v>3778</v>
      </c>
      <c r="H71" s="171" t="s">
        <v>714</v>
      </c>
      <c r="I71" s="36">
        <v>3424</v>
      </c>
      <c r="J71" s="36">
        <v>1780</v>
      </c>
      <c r="K71" s="36">
        <v>1644</v>
      </c>
      <c r="M71" s="171" t="s">
        <v>714</v>
      </c>
      <c r="N71" s="36">
        <v>11391</v>
      </c>
      <c r="O71" s="36">
        <v>5840</v>
      </c>
      <c r="P71" s="36">
        <v>5551</v>
      </c>
      <c r="R71" s="171" t="s">
        <v>714</v>
      </c>
      <c r="S71" s="36">
        <v>17171</v>
      </c>
      <c r="T71" s="36">
        <v>8800</v>
      </c>
      <c r="U71" s="36">
        <v>8371</v>
      </c>
      <c r="V71" s="35"/>
    </row>
    <row r="72" spans="2:22" ht="15.75">
      <c r="B72" s="20"/>
      <c r="C72" s="171" t="s">
        <v>715</v>
      </c>
      <c r="D72" s="36">
        <v>7899</v>
      </c>
      <c r="E72" s="36">
        <v>4062</v>
      </c>
      <c r="F72" s="36">
        <v>3837</v>
      </c>
      <c r="H72" s="171" t="s">
        <v>715</v>
      </c>
      <c r="I72" s="36">
        <v>3455</v>
      </c>
      <c r="J72" s="36">
        <v>1793</v>
      </c>
      <c r="K72" s="36">
        <v>1662</v>
      </c>
      <c r="M72" s="171" t="s">
        <v>715</v>
      </c>
      <c r="N72" s="36">
        <v>11401</v>
      </c>
      <c r="O72" s="36">
        <v>5835</v>
      </c>
      <c r="P72" s="36">
        <v>5566</v>
      </c>
      <c r="R72" s="171" t="s">
        <v>715</v>
      </c>
      <c r="S72" s="36">
        <v>17315</v>
      </c>
      <c r="T72" s="36">
        <v>8858</v>
      </c>
      <c r="U72" s="36">
        <v>8457</v>
      </c>
      <c r="V72" s="35"/>
    </row>
    <row r="73" spans="2:22" ht="15.75">
      <c r="B73" s="20"/>
      <c r="C73" s="171" t="s">
        <v>716</v>
      </c>
      <c r="D73" s="36">
        <v>7961</v>
      </c>
      <c r="E73" s="36">
        <v>4089</v>
      </c>
      <c r="F73" s="36">
        <v>3872</v>
      </c>
      <c r="H73" s="171" t="s">
        <v>716</v>
      </c>
      <c r="I73" s="36">
        <v>3509</v>
      </c>
      <c r="J73" s="36">
        <v>1819</v>
      </c>
      <c r="K73" s="36">
        <v>1690</v>
      </c>
      <c r="M73" s="171" t="s">
        <v>716</v>
      </c>
      <c r="N73" s="36">
        <v>11378</v>
      </c>
      <c r="O73" s="36">
        <v>5816</v>
      </c>
      <c r="P73" s="36">
        <v>5562</v>
      </c>
      <c r="R73" s="171" t="s">
        <v>716</v>
      </c>
      <c r="S73" s="36">
        <v>17440</v>
      </c>
      <c r="T73" s="36">
        <v>8911</v>
      </c>
      <c r="U73" s="36">
        <v>8529</v>
      </c>
      <c r="V73" s="35"/>
    </row>
    <row r="74" spans="2:22" ht="15.75">
      <c r="B74" s="20"/>
      <c r="C74" s="171" t="s">
        <v>717</v>
      </c>
      <c r="D74" s="36">
        <v>7960</v>
      </c>
      <c r="E74" s="36">
        <v>4088</v>
      </c>
      <c r="F74" s="36">
        <v>3872</v>
      </c>
      <c r="H74" s="171" t="s">
        <v>717</v>
      </c>
      <c r="I74" s="36">
        <v>3596</v>
      </c>
      <c r="J74" s="36">
        <v>1864</v>
      </c>
      <c r="K74" s="36">
        <v>1732</v>
      </c>
      <c r="M74" s="171" t="s">
        <v>717</v>
      </c>
      <c r="N74" s="36">
        <v>11310</v>
      </c>
      <c r="O74" s="36">
        <v>5780</v>
      </c>
      <c r="P74" s="36">
        <v>5530</v>
      </c>
      <c r="R74" s="171" t="s">
        <v>717</v>
      </c>
      <c r="S74" s="36">
        <v>17514</v>
      </c>
      <c r="T74" s="36">
        <v>8948</v>
      </c>
      <c r="U74" s="36">
        <v>8566</v>
      </c>
      <c r="V74" s="35"/>
    </row>
    <row r="75" spans="2:22" ht="15.75">
      <c r="B75" s="20"/>
      <c r="C75" s="171" t="s">
        <v>718</v>
      </c>
      <c r="D75" s="36">
        <v>7906</v>
      </c>
      <c r="E75" s="36">
        <v>4062</v>
      </c>
      <c r="F75" s="36">
        <v>3844</v>
      </c>
      <c r="H75" s="171" t="s">
        <v>718</v>
      </c>
      <c r="I75" s="36">
        <v>3699</v>
      </c>
      <c r="J75" s="36">
        <v>1918</v>
      </c>
      <c r="K75" s="36">
        <v>1781</v>
      </c>
      <c r="M75" s="171" t="s">
        <v>718</v>
      </c>
      <c r="N75" s="36">
        <v>11203</v>
      </c>
      <c r="O75" s="36">
        <v>5728</v>
      </c>
      <c r="P75" s="36">
        <v>5475</v>
      </c>
      <c r="R75" s="171" t="s">
        <v>718</v>
      </c>
      <c r="S75" s="36">
        <v>17560</v>
      </c>
      <c r="T75" s="36">
        <v>8975</v>
      </c>
      <c r="U75" s="36">
        <v>8585</v>
      </c>
      <c r="V75" s="35"/>
    </row>
    <row r="76" spans="2:22" ht="15.75">
      <c r="B76" s="20"/>
      <c r="C76" s="171" t="s">
        <v>719</v>
      </c>
      <c r="D76" s="36">
        <v>7849</v>
      </c>
      <c r="E76" s="36">
        <v>4032</v>
      </c>
      <c r="F76" s="36">
        <v>3817</v>
      </c>
      <c r="H76" s="171" t="s">
        <v>719</v>
      </c>
      <c r="I76" s="36">
        <v>3795</v>
      </c>
      <c r="J76" s="36">
        <v>1968</v>
      </c>
      <c r="K76" s="36">
        <v>1827</v>
      </c>
      <c r="M76" s="171" t="s">
        <v>719</v>
      </c>
      <c r="N76" s="36">
        <v>11097</v>
      </c>
      <c r="O76" s="36">
        <v>5673</v>
      </c>
      <c r="P76" s="36">
        <v>5424</v>
      </c>
      <c r="R76" s="171" t="s">
        <v>719</v>
      </c>
      <c r="S76" s="36">
        <v>17625</v>
      </c>
      <c r="T76" s="36">
        <v>9007</v>
      </c>
      <c r="U76" s="36">
        <v>8618</v>
      </c>
      <c r="V76" s="35"/>
    </row>
    <row r="77" spans="2:22" ht="15.75">
      <c r="B77" s="20"/>
      <c r="C77" s="171" t="s">
        <v>720</v>
      </c>
      <c r="D77" s="36">
        <v>7795</v>
      </c>
      <c r="E77" s="36">
        <v>4002</v>
      </c>
      <c r="F77" s="36">
        <v>3793</v>
      </c>
      <c r="H77" s="171" t="s">
        <v>720</v>
      </c>
      <c r="I77" s="36">
        <v>3898</v>
      </c>
      <c r="J77" s="36">
        <v>2020</v>
      </c>
      <c r="K77" s="36">
        <v>1878</v>
      </c>
      <c r="M77" s="171" t="s">
        <v>720</v>
      </c>
      <c r="N77" s="36">
        <v>11002</v>
      </c>
      <c r="O77" s="36">
        <v>5621</v>
      </c>
      <c r="P77" s="36">
        <v>5381</v>
      </c>
      <c r="R77" s="171" t="s">
        <v>720</v>
      </c>
      <c r="S77" s="36">
        <v>17726</v>
      </c>
      <c r="T77" s="36">
        <v>9051</v>
      </c>
      <c r="U77" s="36">
        <v>8675</v>
      </c>
      <c r="V77" s="35"/>
    </row>
    <row r="78" spans="2:22" ht="15.75">
      <c r="B78" s="20"/>
      <c r="C78" s="171" t="s">
        <v>721</v>
      </c>
      <c r="D78" s="36">
        <v>7666</v>
      </c>
      <c r="E78" s="36">
        <v>3935</v>
      </c>
      <c r="F78" s="36">
        <v>3731</v>
      </c>
      <c r="H78" s="171" t="s">
        <v>721</v>
      </c>
      <c r="I78" s="36">
        <v>3938</v>
      </c>
      <c r="J78" s="36">
        <v>2040</v>
      </c>
      <c r="K78" s="36">
        <v>1898</v>
      </c>
      <c r="M78" s="171" t="s">
        <v>721</v>
      </c>
      <c r="N78" s="36">
        <v>10831</v>
      </c>
      <c r="O78" s="36">
        <v>5532</v>
      </c>
      <c r="P78" s="36">
        <v>5299</v>
      </c>
      <c r="R78" s="171" t="s">
        <v>721</v>
      </c>
      <c r="S78" s="36">
        <v>17731</v>
      </c>
      <c r="T78" s="36">
        <v>9050</v>
      </c>
      <c r="U78" s="36">
        <v>8681</v>
      </c>
      <c r="V78" s="35"/>
    </row>
    <row r="79" spans="2:22" ht="15.75">
      <c r="B79" s="20"/>
      <c r="C79" s="171" t="s">
        <v>722</v>
      </c>
      <c r="D79" s="36">
        <v>7431</v>
      </c>
      <c r="E79" s="36">
        <v>3814</v>
      </c>
      <c r="F79" s="36">
        <v>3617</v>
      </c>
      <c r="H79" s="171" t="s">
        <v>722</v>
      </c>
      <c r="I79" s="36">
        <v>3882</v>
      </c>
      <c r="J79" s="36">
        <v>2011</v>
      </c>
      <c r="K79" s="36">
        <v>1871</v>
      </c>
      <c r="M79" s="171" t="s">
        <v>722</v>
      </c>
      <c r="N79" s="36">
        <v>10551</v>
      </c>
      <c r="O79" s="36">
        <v>5390</v>
      </c>
      <c r="P79" s="36">
        <v>5161</v>
      </c>
      <c r="R79" s="171" t="s">
        <v>722</v>
      </c>
      <c r="S79" s="36">
        <v>17574</v>
      </c>
      <c r="T79" s="36">
        <v>8975</v>
      </c>
      <c r="U79" s="36">
        <v>8599</v>
      </c>
      <c r="V79" s="37"/>
    </row>
    <row r="81" spans="2:22" ht="15">
      <c r="B81" s="5"/>
      <c r="C81" s="5"/>
      <c r="D81" s="5"/>
      <c r="V81" s="38"/>
    </row>
    <row r="83" spans="3:18" ht="17.25">
      <c r="C83" s="24" t="s">
        <v>739</v>
      </c>
      <c r="H83" s="24" t="s">
        <v>740</v>
      </c>
      <c r="M83" s="24" t="s">
        <v>741</v>
      </c>
      <c r="R83" s="24" t="s">
        <v>742</v>
      </c>
    </row>
    <row r="85" spans="3:21" ht="31.5">
      <c r="C85" s="168" t="s">
        <v>727</v>
      </c>
      <c r="D85" s="169" t="s">
        <v>539</v>
      </c>
      <c r="E85" s="169" t="s">
        <v>540</v>
      </c>
      <c r="F85" s="169" t="s">
        <v>541</v>
      </c>
      <c r="G85" s="22"/>
      <c r="H85" s="168" t="s">
        <v>727</v>
      </c>
      <c r="I85" s="169" t="s">
        <v>539</v>
      </c>
      <c r="J85" s="169" t="s">
        <v>540</v>
      </c>
      <c r="K85" s="169" t="s">
        <v>541</v>
      </c>
      <c r="L85" s="22"/>
      <c r="M85" s="168" t="s">
        <v>727</v>
      </c>
      <c r="N85" s="169" t="s">
        <v>539</v>
      </c>
      <c r="O85" s="169" t="s">
        <v>540</v>
      </c>
      <c r="P85" s="169" t="s">
        <v>541</v>
      </c>
      <c r="Q85" s="22"/>
      <c r="R85" s="168" t="s">
        <v>727</v>
      </c>
      <c r="S85" s="169" t="s">
        <v>539</v>
      </c>
      <c r="T85" s="169" t="s">
        <v>540</v>
      </c>
      <c r="U85" s="169" t="s">
        <v>541</v>
      </c>
    </row>
    <row r="86" spans="3:21" ht="15.75">
      <c r="C86" s="168" t="s">
        <v>730</v>
      </c>
      <c r="D86" s="170">
        <f>SUM(D87:D105)</f>
        <v>100869</v>
      </c>
      <c r="E86" s="170">
        <f>SUM(E87:E105)</f>
        <v>50681</v>
      </c>
      <c r="F86" s="170">
        <f>SUM(F87:F105)</f>
        <v>50188</v>
      </c>
      <c r="G86" s="22"/>
      <c r="H86" s="168" t="s">
        <v>730</v>
      </c>
      <c r="I86" s="170">
        <f>SUM(I87:I105)</f>
        <v>240713</v>
      </c>
      <c r="J86" s="170">
        <f>SUM(J87:J105)</f>
        <v>122000</v>
      </c>
      <c r="K86" s="170">
        <f>SUM(K87:K105)</f>
        <v>118713</v>
      </c>
      <c r="L86" s="22"/>
      <c r="M86" s="168" t="s">
        <v>730</v>
      </c>
      <c r="N86" s="170">
        <f>SUM(N87:N105)</f>
        <v>322968</v>
      </c>
      <c r="O86" s="170">
        <f>SUM(O87:O105)</f>
        <v>162006</v>
      </c>
      <c r="P86" s="170">
        <f>SUM(P87:P105)</f>
        <v>160962</v>
      </c>
      <c r="Q86" s="22"/>
      <c r="R86" s="168" t="s">
        <v>730</v>
      </c>
      <c r="S86" s="170">
        <f>SUM(S87:S105)</f>
        <v>55899</v>
      </c>
      <c r="T86" s="170">
        <f>SUM(T87:T105)</f>
        <v>28768</v>
      </c>
      <c r="U86" s="170">
        <f>SUM(U87:U105)</f>
        <v>27131</v>
      </c>
    </row>
    <row r="87" spans="3:22" ht="15.75">
      <c r="C87" s="171" t="s">
        <v>704</v>
      </c>
      <c r="D87" s="36">
        <v>5103</v>
      </c>
      <c r="E87" s="36">
        <v>2569</v>
      </c>
      <c r="F87" s="36">
        <v>2534</v>
      </c>
      <c r="G87" s="5"/>
      <c r="H87" s="171" t="s">
        <v>704</v>
      </c>
      <c r="I87" s="36">
        <v>11972</v>
      </c>
      <c r="J87" s="36">
        <v>6072</v>
      </c>
      <c r="K87" s="36">
        <v>5900</v>
      </c>
      <c r="L87" s="5"/>
      <c r="M87" s="171" t="s">
        <v>704</v>
      </c>
      <c r="N87" s="36">
        <v>16376</v>
      </c>
      <c r="O87" s="36">
        <v>8228</v>
      </c>
      <c r="P87" s="36">
        <v>8148</v>
      </c>
      <c r="Q87" s="5"/>
      <c r="R87" s="171" t="s">
        <v>704</v>
      </c>
      <c r="S87" s="36">
        <v>2564</v>
      </c>
      <c r="T87" s="36">
        <v>1320</v>
      </c>
      <c r="U87" s="36">
        <v>1244</v>
      </c>
      <c r="V87" s="35"/>
    </row>
    <row r="88" spans="3:22" ht="15.75">
      <c r="C88" s="171" t="s">
        <v>705</v>
      </c>
      <c r="D88" s="36">
        <v>5076</v>
      </c>
      <c r="E88" s="36">
        <v>2557</v>
      </c>
      <c r="F88" s="36">
        <v>2519</v>
      </c>
      <c r="G88" s="5"/>
      <c r="H88" s="171" t="s">
        <v>705</v>
      </c>
      <c r="I88" s="36">
        <v>11947</v>
      </c>
      <c r="J88" s="36">
        <v>6071</v>
      </c>
      <c r="K88" s="36">
        <v>5876</v>
      </c>
      <c r="L88" s="5"/>
      <c r="M88" s="171" t="s">
        <v>705</v>
      </c>
      <c r="N88" s="36">
        <v>16283</v>
      </c>
      <c r="O88" s="36">
        <v>8189</v>
      </c>
      <c r="P88" s="36">
        <v>8094</v>
      </c>
      <c r="Q88" s="5"/>
      <c r="R88" s="171" t="s">
        <v>705</v>
      </c>
      <c r="S88" s="36">
        <v>2628</v>
      </c>
      <c r="T88" s="36">
        <v>1356</v>
      </c>
      <c r="U88" s="36">
        <v>1272</v>
      </c>
      <c r="V88" s="35"/>
    </row>
    <row r="89" spans="3:22" ht="15.75">
      <c r="C89" s="171" t="s">
        <v>706</v>
      </c>
      <c r="D89" s="36">
        <v>5055</v>
      </c>
      <c r="E89" s="36">
        <v>2549</v>
      </c>
      <c r="F89" s="36">
        <v>2506</v>
      </c>
      <c r="G89" s="5"/>
      <c r="H89" s="171" t="s">
        <v>706</v>
      </c>
      <c r="I89" s="36">
        <v>11942</v>
      </c>
      <c r="J89" s="36">
        <v>6075</v>
      </c>
      <c r="K89" s="36">
        <v>5867</v>
      </c>
      <c r="L89" s="5"/>
      <c r="M89" s="171" t="s">
        <v>706</v>
      </c>
      <c r="N89" s="36">
        <v>16247</v>
      </c>
      <c r="O89" s="36">
        <v>8180</v>
      </c>
      <c r="P89" s="36">
        <v>8067</v>
      </c>
      <c r="Q89" s="5"/>
      <c r="R89" s="171" t="s">
        <v>706</v>
      </c>
      <c r="S89" s="36">
        <v>2682</v>
      </c>
      <c r="T89" s="36">
        <v>1385</v>
      </c>
      <c r="U89" s="36">
        <v>1297</v>
      </c>
      <c r="V89" s="35"/>
    </row>
    <row r="90" spans="3:22" ht="15.75">
      <c r="C90" s="171" t="s">
        <v>707</v>
      </c>
      <c r="D90" s="36">
        <v>5048</v>
      </c>
      <c r="E90" s="36">
        <v>2547</v>
      </c>
      <c r="F90" s="36">
        <v>2501</v>
      </c>
      <c r="H90" s="171" t="s">
        <v>707</v>
      </c>
      <c r="I90" s="36">
        <v>11959</v>
      </c>
      <c r="J90" s="36">
        <v>6087</v>
      </c>
      <c r="K90" s="36">
        <v>5872</v>
      </c>
      <c r="M90" s="171" t="s">
        <v>707</v>
      </c>
      <c r="N90" s="36">
        <v>16241</v>
      </c>
      <c r="O90" s="36">
        <v>8182</v>
      </c>
      <c r="P90" s="36">
        <v>8059</v>
      </c>
      <c r="R90" s="171" t="s">
        <v>707</v>
      </c>
      <c r="S90" s="36">
        <v>2727</v>
      </c>
      <c r="T90" s="36">
        <v>1409</v>
      </c>
      <c r="U90" s="36">
        <v>1318</v>
      </c>
      <c r="V90" s="35"/>
    </row>
    <row r="91" spans="3:22" ht="15.75">
      <c r="C91" s="171" t="s">
        <v>708</v>
      </c>
      <c r="D91" s="36">
        <v>5055</v>
      </c>
      <c r="E91" s="36">
        <v>2551</v>
      </c>
      <c r="F91" s="36">
        <v>2504</v>
      </c>
      <c r="H91" s="171" t="s">
        <v>708</v>
      </c>
      <c r="I91" s="36">
        <v>11998</v>
      </c>
      <c r="J91" s="36">
        <v>6108</v>
      </c>
      <c r="K91" s="36">
        <v>5890</v>
      </c>
      <c r="M91" s="171" t="s">
        <v>708</v>
      </c>
      <c r="N91" s="36">
        <v>16268</v>
      </c>
      <c r="O91" s="36">
        <v>8198</v>
      </c>
      <c r="P91" s="36">
        <v>8070</v>
      </c>
      <c r="R91" s="171" t="s">
        <v>708</v>
      </c>
      <c r="S91" s="36">
        <v>2763</v>
      </c>
      <c r="T91" s="36">
        <v>1428</v>
      </c>
      <c r="U91" s="36">
        <v>1335</v>
      </c>
      <c r="V91" s="35"/>
    </row>
    <row r="92" spans="3:22" ht="15.75">
      <c r="C92" s="171" t="s">
        <v>709</v>
      </c>
      <c r="D92" s="36">
        <v>5041</v>
      </c>
      <c r="E92" s="36">
        <v>2546</v>
      </c>
      <c r="F92" s="36">
        <v>2495</v>
      </c>
      <c r="H92" s="171" t="s">
        <v>709</v>
      </c>
      <c r="I92" s="36">
        <v>12023</v>
      </c>
      <c r="J92" s="36">
        <v>6125</v>
      </c>
      <c r="K92" s="36">
        <v>5898</v>
      </c>
      <c r="M92" s="171" t="s">
        <v>709</v>
      </c>
      <c r="N92" s="36">
        <v>16245</v>
      </c>
      <c r="O92" s="36">
        <v>8191</v>
      </c>
      <c r="P92" s="36">
        <v>8054</v>
      </c>
      <c r="R92" s="171" t="s">
        <v>709</v>
      </c>
      <c r="S92" s="36">
        <v>2829</v>
      </c>
      <c r="T92" s="36">
        <v>1463</v>
      </c>
      <c r="U92" s="36">
        <v>1366</v>
      </c>
      <c r="V92" s="35"/>
    </row>
    <row r="93" spans="3:22" ht="15.75">
      <c r="C93" s="171" t="s">
        <v>710</v>
      </c>
      <c r="D93" s="36">
        <v>5081</v>
      </c>
      <c r="E93" s="36">
        <v>2564</v>
      </c>
      <c r="F93" s="36">
        <v>2517</v>
      </c>
      <c r="H93" s="171" t="s">
        <v>710</v>
      </c>
      <c r="I93" s="36">
        <v>12111</v>
      </c>
      <c r="J93" s="36">
        <v>6166</v>
      </c>
      <c r="K93" s="36">
        <v>5945</v>
      </c>
      <c r="M93" s="171" t="s">
        <v>710</v>
      </c>
      <c r="N93" s="36">
        <v>16350</v>
      </c>
      <c r="O93" s="36">
        <v>8239</v>
      </c>
      <c r="P93" s="36">
        <v>8111</v>
      </c>
      <c r="R93" s="171" t="s">
        <v>710</v>
      </c>
      <c r="S93" s="36">
        <v>2842</v>
      </c>
      <c r="T93" s="36">
        <v>1469</v>
      </c>
      <c r="U93" s="36">
        <v>1373</v>
      </c>
      <c r="V93" s="35"/>
    </row>
    <row r="94" spans="3:22" ht="15.75">
      <c r="C94" s="171" t="s">
        <v>711</v>
      </c>
      <c r="D94" s="36">
        <v>5135</v>
      </c>
      <c r="E94" s="36">
        <v>2589</v>
      </c>
      <c r="F94" s="36">
        <v>2546</v>
      </c>
      <c r="H94" s="171" t="s">
        <v>711</v>
      </c>
      <c r="I94" s="36">
        <v>12222</v>
      </c>
      <c r="J94" s="36">
        <v>6217</v>
      </c>
      <c r="K94" s="36">
        <v>6005</v>
      </c>
      <c r="M94" s="171" t="s">
        <v>711</v>
      </c>
      <c r="N94" s="36">
        <v>16491</v>
      </c>
      <c r="O94" s="36">
        <v>8302</v>
      </c>
      <c r="P94" s="36">
        <v>8189</v>
      </c>
      <c r="R94" s="171" t="s">
        <v>711</v>
      </c>
      <c r="S94" s="36">
        <v>2847</v>
      </c>
      <c r="T94" s="36">
        <v>1470</v>
      </c>
      <c r="U94" s="36">
        <v>1377</v>
      </c>
      <c r="V94" s="35"/>
    </row>
    <row r="95" spans="3:22" ht="15.75">
      <c r="C95" s="171" t="s">
        <v>712</v>
      </c>
      <c r="D95" s="36">
        <v>5198</v>
      </c>
      <c r="E95" s="36">
        <v>2618</v>
      </c>
      <c r="F95" s="36">
        <v>2580</v>
      </c>
      <c r="H95" s="171" t="s">
        <v>712</v>
      </c>
      <c r="I95" s="36">
        <v>12351</v>
      </c>
      <c r="J95" s="36">
        <v>6275</v>
      </c>
      <c r="K95" s="36">
        <v>6076</v>
      </c>
      <c r="M95" s="171" t="s">
        <v>712</v>
      </c>
      <c r="N95" s="36">
        <v>16656</v>
      </c>
      <c r="O95" s="36">
        <v>8375</v>
      </c>
      <c r="P95" s="36">
        <v>8281</v>
      </c>
      <c r="R95" s="171" t="s">
        <v>712</v>
      </c>
      <c r="S95" s="36">
        <v>2849</v>
      </c>
      <c r="T95" s="36">
        <v>1470</v>
      </c>
      <c r="U95" s="36">
        <v>1379</v>
      </c>
      <c r="V95" s="35"/>
    </row>
    <row r="96" spans="3:22" ht="15.75">
      <c r="C96" s="171" t="s">
        <v>713</v>
      </c>
      <c r="D96" s="36">
        <v>5269</v>
      </c>
      <c r="E96" s="36">
        <v>2650</v>
      </c>
      <c r="F96" s="36">
        <v>2619</v>
      </c>
      <c r="H96" s="171" t="s">
        <v>713</v>
      </c>
      <c r="I96" s="36">
        <v>12496</v>
      </c>
      <c r="J96" s="36">
        <v>6340</v>
      </c>
      <c r="K96" s="36">
        <v>6156</v>
      </c>
      <c r="M96" s="171" t="s">
        <v>713</v>
      </c>
      <c r="N96" s="36">
        <v>16841</v>
      </c>
      <c r="O96" s="36">
        <v>8456</v>
      </c>
      <c r="P96" s="36">
        <v>8385</v>
      </c>
      <c r="R96" s="171" t="s">
        <v>713</v>
      </c>
      <c r="S96" s="36">
        <v>2851</v>
      </c>
      <c r="T96" s="36">
        <v>1469</v>
      </c>
      <c r="U96" s="36">
        <v>1382</v>
      </c>
      <c r="V96" s="35"/>
    </row>
    <row r="97" spans="3:22" ht="15.75">
      <c r="C97" s="171" t="s">
        <v>714</v>
      </c>
      <c r="D97" s="36">
        <v>5345</v>
      </c>
      <c r="E97" s="36">
        <v>2684</v>
      </c>
      <c r="F97" s="36">
        <v>2661</v>
      </c>
      <c r="H97" s="171" t="s">
        <v>714</v>
      </c>
      <c r="I97" s="36">
        <v>12652</v>
      </c>
      <c r="J97" s="36">
        <v>6409</v>
      </c>
      <c r="K97" s="36">
        <v>6243</v>
      </c>
      <c r="M97" s="171" t="s">
        <v>714</v>
      </c>
      <c r="N97" s="36">
        <v>17033</v>
      </c>
      <c r="O97" s="36">
        <v>8539</v>
      </c>
      <c r="P97" s="36">
        <v>8494</v>
      </c>
      <c r="R97" s="171" t="s">
        <v>714</v>
      </c>
      <c r="S97" s="36">
        <v>2851</v>
      </c>
      <c r="T97" s="36">
        <v>1467</v>
      </c>
      <c r="U97" s="36">
        <v>1384</v>
      </c>
      <c r="V97" s="35"/>
    </row>
    <row r="98" spans="3:22" ht="15.75">
      <c r="C98" s="171" t="s">
        <v>715</v>
      </c>
      <c r="D98" s="36">
        <v>5427</v>
      </c>
      <c r="E98" s="36">
        <v>2720</v>
      </c>
      <c r="F98" s="36">
        <v>2707</v>
      </c>
      <c r="H98" s="171" t="s">
        <v>715</v>
      </c>
      <c r="I98" s="36">
        <v>12818</v>
      </c>
      <c r="J98" s="36">
        <v>6481</v>
      </c>
      <c r="K98" s="36">
        <v>6337</v>
      </c>
      <c r="M98" s="171" t="s">
        <v>715</v>
      </c>
      <c r="N98" s="36">
        <v>17229</v>
      </c>
      <c r="O98" s="36">
        <v>8621</v>
      </c>
      <c r="P98" s="36">
        <v>8608</v>
      </c>
      <c r="R98" s="171" t="s">
        <v>715</v>
      </c>
      <c r="S98" s="36">
        <v>2843</v>
      </c>
      <c r="T98" s="36">
        <v>1460</v>
      </c>
      <c r="U98" s="36">
        <v>1383</v>
      </c>
      <c r="V98" s="35"/>
    </row>
    <row r="99" spans="3:22" ht="15.75">
      <c r="C99" s="171" t="s">
        <v>716</v>
      </c>
      <c r="D99" s="36">
        <v>5495</v>
      </c>
      <c r="E99" s="36">
        <v>2751</v>
      </c>
      <c r="F99" s="36">
        <v>2744</v>
      </c>
      <c r="H99" s="171" t="s">
        <v>716</v>
      </c>
      <c r="I99" s="36">
        <v>12986</v>
      </c>
      <c r="J99" s="36">
        <v>6558</v>
      </c>
      <c r="K99" s="36">
        <v>6428</v>
      </c>
      <c r="M99" s="171" t="s">
        <v>716</v>
      </c>
      <c r="N99" s="36">
        <v>17416</v>
      </c>
      <c r="O99" s="36">
        <v>8704</v>
      </c>
      <c r="P99" s="36">
        <v>8712</v>
      </c>
      <c r="R99" s="171" t="s">
        <v>716</v>
      </c>
      <c r="S99" s="36">
        <v>2874</v>
      </c>
      <c r="T99" s="36">
        <v>1474</v>
      </c>
      <c r="U99" s="36">
        <v>1400</v>
      </c>
      <c r="V99" s="35"/>
    </row>
    <row r="100" spans="3:22" ht="15.75">
      <c r="C100" s="171" t="s">
        <v>717</v>
      </c>
      <c r="D100" s="36">
        <v>5536</v>
      </c>
      <c r="E100" s="36">
        <v>2771</v>
      </c>
      <c r="F100" s="36">
        <v>2765</v>
      </c>
      <c r="H100" s="171" t="s">
        <v>717</v>
      </c>
      <c r="I100" s="36">
        <v>13151</v>
      </c>
      <c r="J100" s="36">
        <v>6641</v>
      </c>
      <c r="K100" s="36">
        <v>6510</v>
      </c>
      <c r="M100" s="171" t="s">
        <v>717</v>
      </c>
      <c r="N100" s="36">
        <v>17584</v>
      </c>
      <c r="O100" s="36">
        <v>8787</v>
      </c>
      <c r="P100" s="36">
        <v>8797</v>
      </c>
      <c r="R100" s="171" t="s">
        <v>717</v>
      </c>
      <c r="S100" s="36">
        <v>2969</v>
      </c>
      <c r="T100" s="36">
        <v>1523</v>
      </c>
      <c r="U100" s="36">
        <v>1446</v>
      </c>
      <c r="V100" s="35"/>
    </row>
    <row r="101" spans="3:22" ht="15.75">
      <c r="C101" s="171" t="s">
        <v>718</v>
      </c>
      <c r="D101" s="36">
        <v>5559</v>
      </c>
      <c r="E101" s="36">
        <v>2784</v>
      </c>
      <c r="F101" s="36">
        <v>2775</v>
      </c>
      <c r="H101" s="171" t="s">
        <v>718</v>
      </c>
      <c r="I101" s="36">
        <v>13309</v>
      </c>
      <c r="J101" s="36">
        <v>6724</v>
      </c>
      <c r="K101" s="36">
        <v>6585</v>
      </c>
      <c r="M101" s="171" t="s">
        <v>718</v>
      </c>
      <c r="N101" s="36">
        <v>17733</v>
      </c>
      <c r="O101" s="36">
        <v>8865</v>
      </c>
      <c r="P101" s="36">
        <v>8868</v>
      </c>
      <c r="R101" s="171" t="s">
        <v>718</v>
      </c>
      <c r="S101" s="36">
        <v>3104</v>
      </c>
      <c r="T101" s="36">
        <v>1593</v>
      </c>
      <c r="U101" s="36">
        <v>1511</v>
      </c>
      <c r="V101" s="35"/>
    </row>
    <row r="102" spans="3:22" ht="15.75">
      <c r="C102" s="171" t="s">
        <v>719</v>
      </c>
      <c r="D102" s="36">
        <v>5587</v>
      </c>
      <c r="E102" s="36">
        <v>2798</v>
      </c>
      <c r="F102" s="36">
        <v>2789</v>
      </c>
      <c r="H102" s="171" t="s">
        <v>719</v>
      </c>
      <c r="I102" s="36">
        <v>13474</v>
      </c>
      <c r="J102" s="36">
        <v>6807</v>
      </c>
      <c r="K102" s="36">
        <v>6667</v>
      </c>
      <c r="M102" s="171" t="s">
        <v>719</v>
      </c>
      <c r="N102" s="36">
        <v>17888</v>
      </c>
      <c r="O102" s="36">
        <v>8941</v>
      </c>
      <c r="P102" s="36">
        <v>8947</v>
      </c>
      <c r="R102" s="171" t="s">
        <v>719</v>
      </c>
      <c r="S102" s="36">
        <v>3233</v>
      </c>
      <c r="T102" s="36">
        <v>1659</v>
      </c>
      <c r="U102" s="36">
        <v>1574</v>
      </c>
      <c r="V102" s="35"/>
    </row>
    <row r="103" spans="3:22" ht="15.75">
      <c r="C103" s="171" t="s">
        <v>720</v>
      </c>
      <c r="D103" s="36">
        <v>5627</v>
      </c>
      <c r="E103" s="36">
        <v>2815</v>
      </c>
      <c r="F103" s="36">
        <v>2812</v>
      </c>
      <c r="H103" s="171" t="s">
        <v>720</v>
      </c>
      <c r="I103" s="36">
        <v>13650</v>
      </c>
      <c r="J103" s="36">
        <v>6890</v>
      </c>
      <c r="K103" s="36">
        <v>6760</v>
      </c>
      <c r="M103" s="171" t="s">
        <v>720</v>
      </c>
      <c r="N103" s="36">
        <v>18080</v>
      </c>
      <c r="O103" s="36">
        <v>9029</v>
      </c>
      <c r="P103" s="36">
        <v>9051</v>
      </c>
      <c r="R103" s="171" t="s">
        <v>720</v>
      </c>
      <c r="S103" s="36">
        <v>3361</v>
      </c>
      <c r="T103" s="36">
        <v>1723</v>
      </c>
      <c r="U103" s="36">
        <v>1638</v>
      </c>
      <c r="V103" s="35"/>
    </row>
    <row r="104" spans="3:22" ht="15.75">
      <c r="C104" s="171" t="s">
        <v>721</v>
      </c>
      <c r="D104" s="36">
        <v>5635</v>
      </c>
      <c r="E104" s="36">
        <v>2818</v>
      </c>
      <c r="F104" s="36">
        <v>2817</v>
      </c>
      <c r="H104" s="171" t="s">
        <v>721</v>
      </c>
      <c r="I104" s="36">
        <v>13787</v>
      </c>
      <c r="J104" s="36">
        <v>6956</v>
      </c>
      <c r="K104" s="36">
        <v>6831</v>
      </c>
      <c r="M104" s="171" t="s">
        <v>721</v>
      </c>
      <c r="N104" s="36">
        <v>18114</v>
      </c>
      <c r="O104" s="36">
        <v>9043</v>
      </c>
      <c r="P104" s="36">
        <v>9071</v>
      </c>
      <c r="R104" s="171" t="s">
        <v>721</v>
      </c>
      <c r="S104" s="36">
        <v>3485</v>
      </c>
      <c r="T104" s="36">
        <v>1786</v>
      </c>
      <c r="U104" s="36">
        <v>1699</v>
      </c>
      <c r="V104" s="35"/>
    </row>
    <row r="105" spans="3:22" ht="15.75">
      <c r="C105" s="171" t="s">
        <v>722</v>
      </c>
      <c r="D105" s="36">
        <v>5597</v>
      </c>
      <c r="E105" s="36">
        <v>2800</v>
      </c>
      <c r="F105" s="36">
        <v>2797</v>
      </c>
      <c r="H105" s="171" t="s">
        <v>722</v>
      </c>
      <c r="I105" s="36">
        <v>13865</v>
      </c>
      <c r="J105" s="36">
        <v>6998</v>
      </c>
      <c r="K105" s="36">
        <v>6867</v>
      </c>
      <c r="M105" s="171" t="s">
        <v>722</v>
      </c>
      <c r="N105" s="36">
        <v>17893</v>
      </c>
      <c r="O105" s="36">
        <v>8937</v>
      </c>
      <c r="P105" s="36">
        <v>8956</v>
      </c>
      <c r="R105" s="171" t="s">
        <v>722</v>
      </c>
      <c r="S105" s="36">
        <v>3597</v>
      </c>
      <c r="T105" s="36">
        <v>1844</v>
      </c>
      <c r="U105" s="36">
        <v>1753</v>
      </c>
      <c r="V105" s="37"/>
    </row>
    <row r="109" spans="3:18" ht="17.25">
      <c r="C109" s="24" t="s">
        <v>743</v>
      </c>
      <c r="H109" s="24" t="s">
        <v>744</v>
      </c>
      <c r="M109" s="24" t="s">
        <v>745</v>
      </c>
      <c r="R109" s="24" t="s">
        <v>746</v>
      </c>
    </row>
    <row r="111" spans="3:21" ht="31.5">
      <c r="C111" s="168" t="s">
        <v>727</v>
      </c>
      <c r="D111" s="169" t="s">
        <v>539</v>
      </c>
      <c r="E111" s="169" t="s">
        <v>540</v>
      </c>
      <c r="F111" s="169" t="s">
        <v>541</v>
      </c>
      <c r="G111" s="22"/>
      <c r="H111" s="168" t="s">
        <v>727</v>
      </c>
      <c r="I111" s="169" t="s">
        <v>539</v>
      </c>
      <c r="J111" s="169" t="s">
        <v>540</v>
      </c>
      <c r="K111" s="169" t="s">
        <v>541</v>
      </c>
      <c r="L111" s="22"/>
      <c r="M111" s="168" t="s">
        <v>727</v>
      </c>
      <c r="N111" s="169" t="s">
        <v>539</v>
      </c>
      <c r="O111" s="169" t="s">
        <v>540</v>
      </c>
      <c r="P111" s="169" t="s">
        <v>541</v>
      </c>
      <c r="Q111" s="22"/>
      <c r="R111" s="168" t="s">
        <v>727</v>
      </c>
      <c r="S111" s="169" t="s">
        <v>539</v>
      </c>
      <c r="T111" s="169" t="s">
        <v>540</v>
      </c>
      <c r="U111" s="169" t="s">
        <v>541</v>
      </c>
    </row>
    <row r="112" spans="3:21" ht="15.75">
      <c r="C112" s="168" t="s">
        <v>730</v>
      </c>
      <c r="D112" s="170">
        <f>SUM(D113:D131)</f>
        <v>28895</v>
      </c>
      <c r="E112" s="170">
        <f>SUM(E113:E131)</f>
        <v>14428</v>
      </c>
      <c r="F112" s="170">
        <f>SUM(F113:F131)</f>
        <v>14467</v>
      </c>
      <c r="G112" s="22"/>
      <c r="H112" s="168" t="s">
        <v>730</v>
      </c>
      <c r="I112" s="170">
        <f>SUM(I113:I131)</f>
        <v>26630</v>
      </c>
      <c r="J112" s="170">
        <f>SUM(J113:J131)</f>
        <v>14088</v>
      </c>
      <c r="K112" s="170">
        <f>SUM(K113:K131)</f>
        <v>12542</v>
      </c>
      <c r="L112" s="22"/>
      <c r="M112" s="168" t="s">
        <v>730</v>
      </c>
      <c r="N112" s="170">
        <f>SUM(N113:N131)</f>
        <v>33291</v>
      </c>
      <c r="O112" s="170">
        <f>SUM(O113:O131)</f>
        <v>17093</v>
      </c>
      <c r="P112" s="170">
        <f>SUM(P113:P131)</f>
        <v>16198</v>
      </c>
      <c r="Q112" s="22"/>
      <c r="R112" s="168" t="s">
        <v>730</v>
      </c>
      <c r="S112" s="170">
        <f>SUM(S113:S131)</f>
        <v>70503</v>
      </c>
      <c r="T112" s="170">
        <f>SUM(T113:T131)</f>
        <v>36603</v>
      </c>
      <c r="U112" s="170">
        <f>SUM(U113:U131)</f>
        <v>33900</v>
      </c>
    </row>
    <row r="113" spans="3:22" ht="15.75">
      <c r="C113" s="171" t="s">
        <v>704</v>
      </c>
      <c r="D113" s="36">
        <v>1277</v>
      </c>
      <c r="E113" s="36">
        <v>641</v>
      </c>
      <c r="F113" s="36">
        <v>636</v>
      </c>
      <c r="G113" s="5"/>
      <c r="H113" s="171" t="s">
        <v>704</v>
      </c>
      <c r="I113" s="36">
        <v>1442</v>
      </c>
      <c r="J113" s="36">
        <v>765</v>
      </c>
      <c r="K113" s="36">
        <v>677</v>
      </c>
      <c r="L113" s="5"/>
      <c r="M113" s="171" t="s">
        <v>704</v>
      </c>
      <c r="N113" s="36">
        <v>1785</v>
      </c>
      <c r="O113" s="36">
        <v>919</v>
      </c>
      <c r="P113" s="36">
        <v>866</v>
      </c>
      <c r="Q113" s="5"/>
      <c r="R113" s="171" t="s">
        <v>704</v>
      </c>
      <c r="S113" s="36">
        <v>3488</v>
      </c>
      <c r="T113" s="36">
        <v>1815</v>
      </c>
      <c r="U113" s="36">
        <v>1673</v>
      </c>
      <c r="V113" s="35"/>
    </row>
    <row r="114" spans="3:22" ht="15.75">
      <c r="C114" s="171" t="s">
        <v>705</v>
      </c>
      <c r="D114" s="36">
        <v>1288</v>
      </c>
      <c r="E114" s="36">
        <v>645</v>
      </c>
      <c r="F114" s="36">
        <v>643</v>
      </c>
      <c r="G114" s="5"/>
      <c r="H114" s="171" t="s">
        <v>705</v>
      </c>
      <c r="I114" s="36">
        <v>1395</v>
      </c>
      <c r="J114" s="36">
        <v>740</v>
      </c>
      <c r="K114" s="36">
        <v>655</v>
      </c>
      <c r="L114" s="5"/>
      <c r="M114" s="171" t="s">
        <v>705</v>
      </c>
      <c r="N114" s="36">
        <v>1740</v>
      </c>
      <c r="O114" s="36">
        <v>896</v>
      </c>
      <c r="P114" s="36">
        <v>844</v>
      </c>
      <c r="Q114" s="5"/>
      <c r="R114" s="171" t="s">
        <v>705</v>
      </c>
      <c r="S114" s="36">
        <v>3453</v>
      </c>
      <c r="T114" s="36">
        <v>1797</v>
      </c>
      <c r="U114" s="36">
        <v>1656</v>
      </c>
      <c r="V114" s="35"/>
    </row>
    <row r="115" spans="3:22" ht="15.75">
      <c r="C115" s="171" t="s">
        <v>706</v>
      </c>
      <c r="D115" s="36">
        <v>1295</v>
      </c>
      <c r="E115" s="36">
        <v>649</v>
      </c>
      <c r="F115" s="36">
        <v>646</v>
      </c>
      <c r="G115" s="5"/>
      <c r="H115" s="171" t="s">
        <v>706</v>
      </c>
      <c r="I115" s="36">
        <v>1355</v>
      </c>
      <c r="J115" s="36">
        <v>719</v>
      </c>
      <c r="K115" s="36">
        <v>636</v>
      </c>
      <c r="L115" s="5"/>
      <c r="M115" s="171" t="s">
        <v>706</v>
      </c>
      <c r="N115" s="36">
        <v>1699</v>
      </c>
      <c r="O115" s="36">
        <v>875</v>
      </c>
      <c r="P115" s="36">
        <v>824</v>
      </c>
      <c r="Q115" s="5"/>
      <c r="R115" s="171" t="s">
        <v>706</v>
      </c>
      <c r="S115" s="36">
        <v>3423</v>
      </c>
      <c r="T115" s="36">
        <v>1783</v>
      </c>
      <c r="U115" s="36">
        <v>1640</v>
      </c>
      <c r="V115" s="35"/>
    </row>
    <row r="116" spans="3:22" ht="15.75">
      <c r="C116" s="171" t="s">
        <v>707</v>
      </c>
      <c r="D116" s="36">
        <v>1301</v>
      </c>
      <c r="E116" s="36">
        <v>653</v>
      </c>
      <c r="F116" s="36">
        <v>648</v>
      </c>
      <c r="H116" s="171" t="s">
        <v>707</v>
      </c>
      <c r="I116" s="36">
        <v>1323</v>
      </c>
      <c r="J116" s="36">
        <v>703</v>
      </c>
      <c r="K116" s="36">
        <v>620</v>
      </c>
      <c r="M116" s="171" t="s">
        <v>707</v>
      </c>
      <c r="N116" s="36">
        <v>1668</v>
      </c>
      <c r="O116" s="36">
        <v>860</v>
      </c>
      <c r="P116" s="36">
        <v>808</v>
      </c>
      <c r="R116" s="171" t="s">
        <v>707</v>
      </c>
      <c r="S116" s="36">
        <v>3405</v>
      </c>
      <c r="T116" s="36">
        <v>1775</v>
      </c>
      <c r="U116" s="36">
        <v>1630</v>
      </c>
      <c r="V116" s="35"/>
    </row>
    <row r="117" spans="3:22" ht="15.75">
      <c r="C117" s="171" t="s">
        <v>708</v>
      </c>
      <c r="D117" s="36">
        <v>1304</v>
      </c>
      <c r="E117" s="36">
        <v>654</v>
      </c>
      <c r="F117" s="36">
        <v>650</v>
      </c>
      <c r="H117" s="171" t="s">
        <v>708</v>
      </c>
      <c r="I117" s="36">
        <v>1299</v>
      </c>
      <c r="J117" s="36">
        <v>690</v>
      </c>
      <c r="K117" s="36">
        <v>609</v>
      </c>
      <c r="M117" s="171" t="s">
        <v>708</v>
      </c>
      <c r="N117" s="36">
        <v>1646</v>
      </c>
      <c r="O117" s="36">
        <v>849</v>
      </c>
      <c r="P117" s="36">
        <v>797</v>
      </c>
      <c r="R117" s="171" t="s">
        <v>708</v>
      </c>
      <c r="S117" s="36">
        <v>3400</v>
      </c>
      <c r="T117" s="36">
        <v>1773</v>
      </c>
      <c r="U117" s="36">
        <v>1627</v>
      </c>
      <c r="V117" s="35"/>
    </row>
    <row r="118" spans="3:22" ht="15.75">
      <c r="C118" s="171" t="s">
        <v>709</v>
      </c>
      <c r="D118" s="36">
        <v>1337</v>
      </c>
      <c r="E118" s="36">
        <v>671</v>
      </c>
      <c r="F118" s="36">
        <v>666</v>
      </c>
      <c r="H118" s="171" t="s">
        <v>709</v>
      </c>
      <c r="I118" s="36">
        <v>1276</v>
      </c>
      <c r="J118" s="36">
        <v>678</v>
      </c>
      <c r="K118" s="36">
        <v>598</v>
      </c>
      <c r="M118" s="171" t="s">
        <v>709</v>
      </c>
      <c r="N118" s="36">
        <v>1618</v>
      </c>
      <c r="O118" s="36">
        <v>835</v>
      </c>
      <c r="P118" s="36">
        <v>783</v>
      </c>
      <c r="R118" s="171" t="s">
        <v>709</v>
      </c>
      <c r="S118" s="36">
        <v>3394</v>
      </c>
      <c r="T118" s="36">
        <v>1771</v>
      </c>
      <c r="U118" s="36">
        <v>1623</v>
      </c>
      <c r="V118" s="35"/>
    </row>
    <row r="119" spans="3:22" ht="15.75">
      <c r="C119" s="171" t="s">
        <v>710</v>
      </c>
      <c r="D119" s="36">
        <v>1334</v>
      </c>
      <c r="E119" s="36">
        <v>669</v>
      </c>
      <c r="F119" s="36">
        <v>665</v>
      </c>
      <c r="H119" s="171" t="s">
        <v>710</v>
      </c>
      <c r="I119" s="36">
        <v>1270</v>
      </c>
      <c r="J119" s="36">
        <v>675</v>
      </c>
      <c r="K119" s="36">
        <v>595</v>
      </c>
      <c r="M119" s="171" t="s">
        <v>710</v>
      </c>
      <c r="N119" s="36">
        <v>1619</v>
      </c>
      <c r="O119" s="36">
        <v>835</v>
      </c>
      <c r="P119" s="36">
        <v>784</v>
      </c>
      <c r="R119" s="171" t="s">
        <v>710</v>
      </c>
      <c r="S119" s="36">
        <v>3417</v>
      </c>
      <c r="T119" s="36">
        <v>1782</v>
      </c>
      <c r="U119" s="36">
        <v>1635</v>
      </c>
      <c r="V119" s="35"/>
    </row>
    <row r="120" spans="3:22" ht="15.75">
      <c r="C120" s="171" t="s">
        <v>711</v>
      </c>
      <c r="D120" s="36">
        <v>1330</v>
      </c>
      <c r="E120" s="36">
        <v>667</v>
      </c>
      <c r="F120" s="36">
        <v>663</v>
      </c>
      <c r="H120" s="171" t="s">
        <v>711</v>
      </c>
      <c r="I120" s="36">
        <v>1272</v>
      </c>
      <c r="J120" s="36">
        <v>675</v>
      </c>
      <c r="K120" s="36">
        <v>597</v>
      </c>
      <c r="M120" s="171" t="s">
        <v>711</v>
      </c>
      <c r="N120" s="36">
        <v>1629</v>
      </c>
      <c r="O120" s="36">
        <v>839</v>
      </c>
      <c r="P120" s="36">
        <v>790</v>
      </c>
      <c r="R120" s="171" t="s">
        <v>711</v>
      </c>
      <c r="S120" s="36">
        <v>3452</v>
      </c>
      <c r="T120" s="36">
        <v>1798</v>
      </c>
      <c r="U120" s="36">
        <v>1654</v>
      </c>
      <c r="V120" s="35"/>
    </row>
    <row r="121" spans="3:22" ht="15.75">
      <c r="C121" s="171" t="s">
        <v>712</v>
      </c>
      <c r="D121" s="36">
        <v>1330</v>
      </c>
      <c r="E121" s="36">
        <v>666</v>
      </c>
      <c r="F121" s="36">
        <v>664</v>
      </c>
      <c r="H121" s="171" t="s">
        <v>712</v>
      </c>
      <c r="I121" s="36">
        <v>1283</v>
      </c>
      <c r="J121" s="36">
        <v>680</v>
      </c>
      <c r="K121" s="36">
        <v>603</v>
      </c>
      <c r="M121" s="171" t="s">
        <v>712</v>
      </c>
      <c r="N121" s="36">
        <v>1649</v>
      </c>
      <c r="O121" s="36">
        <v>848</v>
      </c>
      <c r="P121" s="36">
        <v>801</v>
      </c>
      <c r="R121" s="171" t="s">
        <v>712</v>
      </c>
      <c r="S121" s="36">
        <v>3499</v>
      </c>
      <c r="T121" s="36">
        <v>1821</v>
      </c>
      <c r="U121" s="36">
        <v>1678</v>
      </c>
      <c r="V121" s="35"/>
    </row>
    <row r="122" spans="3:22" ht="15.75">
      <c r="C122" s="171" t="s">
        <v>713</v>
      </c>
      <c r="D122" s="36">
        <v>1338</v>
      </c>
      <c r="E122" s="36">
        <v>669</v>
      </c>
      <c r="F122" s="36">
        <v>669</v>
      </c>
      <c r="H122" s="171" t="s">
        <v>713</v>
      </c>
      <c r="I122" s="36">
        <v>1301</v>
      </c>
      <c r="J122" s="36">
        <v>689</v>
      </c>
      <c r="K122" s="36">
        <v>612</v>
      </c>
      <c r="M122" s="171" t="s">
        <v>713</v>
      </c>
      <c r="N122" s="36">
        <v>1675</v>
      </c>
      <c r="O122" s="36">
        <v>861</v>
      </c>
      <c r="P122" s="36">
        <v>814</v>
      </c>
      <c r="R122" s="171" t="s">
        <v>713</v>
      </c>
      <c r="S122" s="36">
        <v>3558</v>
      </c>
      <c r="T122" s="36">
        <v>1849</v>
      </c>
      <c r="U122" s="36">
        <v>1709</v>
      </c>
      <c r="V122" s="35"/>
    </row>
    <row r="123" spans="3:22" ht="15.75">
      <c r="C123" s="171" t="s">
        <v>714</v>
      </c>
      <c r="D123" s="36">
        <v>1346</v>
      </c>
      <c r="E123" s="36">
        <v>672</v>
      </c>
      <c r="F123" s="36">
        <v>674</v>
      </c>
      <c r="H123" s="171" t="s">
        <v>714</v>
      </c>
      <c r="I123" s="36">
        <v>1323</v>
      </c>
      <c r="J123" s="36">
        <v>700</v>
      </c>
      <c r="K123" s="36">
        <v>623</v>
      </c>
      <c r="M123" s="171" t="s">
        <v>714</v>
      </c>
      <c r="N123" s="36">
        <v>1706</v>
      </c>
      <c r="O123" s="36">
        <v>875</v>
      </c>
      <c r="P123" s="36">
        <v>831</v>
      </c>
      <c r="R123" s="171" t="s">
        <v>714</v>
      </c>
      <c r="S123" s="36">
        <v>3623</v>
      </c>
      <c r="T123" s="36">
        <v>1880</v>
      </c>
      <c r="U123" s="36">
        <v>1743</v>
      </c>
      <c r="V123" s="35"/>
    </row>
    <row r="124" spans="3:22" ht="15.75">
      <c r="C124" s="171" t="s">
        <v>715</v>
      </c>
      <c r="D124" s="36">
        <v>1349</v>
      </c>
      <c r="E124" s="36">
        <v>672</v>
      </c>
      <c r="F124" s="36">
        <v>677</v>
      </c>
      <c r="H124" s="171" t="s">
        <v>715</v>
      </c>
      <c r="I124" s="36">
        <v>1349</v>
      </c>
      <c r="J124" s="36">
        <v>712</v>
      </c>
      <c r="K124" s="36">
        <v>637</v>
      </c>
      <c r="M124" s="171" t="s">
        <v>715</v>
      </c>
      <c r="N124" s="36">
        <v>1740</v>
      </c>
      <c r="O124" s="36">
        <v>891</v>
      </c>
      <c r="P124" s="36">
        <v>849</v>
      </c>
      <c r="R124" s="171" t="s">
        <v>715</v>
      </c>
      <c r="S124" s="36">
        <v>3691</v>
      </c>
      <c r="T124" s="36">
        <v>1912</v>
      </c>
      <c r="U124" s="36">
        <v>1779</v>
      </c>
      <c r="V124" s="35"/>
    </row>
    <row r="125" spans="3:22" ht="15.75">
      <c r="C125" s="171" t="s">
        <v>716</v>
      </c>
      <c r="D125" s="36">
        <v>1401</v>
      </c>
      <c r="E125" s="36">
        <v>697</v>
      </c>
      <c r="F125" s="36">
        <v>704</v>
      </c>
      <c r="H125" s="171" t="s">
        <v>716</v>
      </c>
      <c r="I125" s="36">
        <v>1385</v>
      </c>
      <c r="J125" s="36">
        <v>730</v>
      </c>
      <c r="K125" s="36">
        <v>655</v>
      </c>
      <c r="M125" s="171" t="s">
        <v>716</v>
      </c>
      <c r="N125" s="36">
        <v>1776</v>
      </c>
      <c r="O125" s="36">
        <v>909</v>
      </c>
      <c r="P125" s="36">
        <v>867</v>
      </c>
      <c r="R125" s="171" t="s">
        <v>716</v>
      </c>
      <c r="S125" s="36">
        <v>3776</v>
      </c>
      <c r="T125" s="36">
        <v>1954</v>
      </c>
      <c r="U125" s="36">
        <v>1822</v>
      </c>
      <c r="V125" s="35"/>
    </row>
    <row r="126" spans="3:22" ht="15.75">
      <c r="C126" s="171" t="s">
        <v>717</v>
      </c>
      <c r="D126" s="36">
        <v>1528</v>
      </c>
      <c r="E126" s="36">
        <v>760</v>
      </c>
      <c r="F126" s="36">
        <v>768</v>
      </c>
      <c r="H126" s="171" t="s">
        <v>717</v>
      </c>
      <c r="I126" s="36">
        <v>1431</v>
      </c>
      <c r="J126" s="36">
        <v>754</v>
      </c>
      <c r="K126" s="36">
        <v>677</v>
      </c>
      <c r="M126" s="171" t="s">
        <v>717</v>
      </c>
      <c r="N126" s="36">
        <v>1814</v>
      </c>
      <c r="O126" s="36">
        <v>928</v>
      </c>
      <c r="P126" s="36">
        <v>886</v>
      </c>
      <c r="R126" s="171" t="s">
        <v>717</v>
      </c>
      <c r="S126" s="36">
        <v>3881</v>
      </c>
      <c r="T126" s="36">
        <v>2008</v>
      </c>
      <c r="U126" s="36">
        <v>1873</v>
      </c>
      <c r="V126" s="35"/>
    </row>
    <row r="127" spans="3:22" ht="15.75">
      <c r="C127" s="171" t="s">
        <v>718</v>
      </c>
      <c r="D127" s="36">
        <v>1701</v>
      </c>
      <c r="E127" s="36">
        <v>847</v>
      </c>
      <c r="F127" s="36">
        <v>854</v>
      </c>
      <c r="H127" s="171" t="s">
        <v>718</v>
      </c>
      <c r="I127" s="36">
        <v>1484</v>
      </c>
      <c r="J127" s="36">
        <v>783</v>
      </c>
      <c r="K127" s="36">
        <v>701</v>
      </c>
      <c r="M127" s="171" t="s">
        <v>718</v>
      </c>
      <c r="N127" s="36">
        <v>1849</v>
      </c>
      <c r="O127" s="36">
        <v>946</v>
      </c>
      <c r="P127" s="36">
        <v>903</v>
      </c>
      <c r="R127" s="171" t="s">
        <v>718</v>
      </c>
      <c r="S127" s="36">
        <v>3995</v>
      </c>
      <c r="T127" s="36">
        <v>2068</v>
      </c>
      <c r="U127" s="36">
        <v>1927</v>
      </c>
      <c r="V127" s="35"/>
    </row>
    <row r="128" spans="3:22" ht="15.75">
      <c r="C128" s="171" t="s">
        <v>719</v>
      </c>
      <c r="D128" s="36">
        <v>1872</v>
      </c>
      <c r="E128" s="36">
        <v>932</v>
      </c>
      <c r="F128" s="36">
        <v>940</v>
      </c>
      <c r="H128" s="171" t="s">
        <v>719</v>
      </c>
      <c r="I128" s="36">
        <v>1538</v>
      </c>
      <c r="J128" s="36">
        <v>811</v>
      </c>
      <c r="K128" s="36">
        <v>727</v>
      </c>
      <c r="M128" s="171" t="s">
        <v>719</v>
      </c>
      <c r="N128" s="36">
        <v>1884</v>
      </c>
      <c r="O128" s="36">
        <v>964</v>
      </c>
      <c r="P128" s="36">
        <v>920</v>
      </c>
      <c r="R128" s="171" t="s">
        <v>719</v>
      </c>
      <c r="S128" s="36">
        <v>4111</v>
      </c>
      <c r="T128" s="36">
        <v>2128</v>
      </c>
      <c r="U128" s="36">
        <v>1983</v>
      </c>
      <c r="V128" s="35"/>
    </row>
    <row r="129" spans="3:22" ht="15.75">
      <c r="C129" s="171" t="s">
        <v>720</v>
      </c>
      <c r="D129" s="36">
        <v>2047</v>
      </c>
      <c r="E129" s="36">
        <v>1018</v>
      </c>
      <c r="F129" s="36">
        <v>1029</v>
      </c>
      <c r="H129" s="171" t="s">
        <v>720</v>
      </c>
      <c r="I129" s="36">
        <v>1596</v>
      </c>
      <c r="J129" s="36">
        <v>841</v>
      </c>
      <c r="K129" s="36">
        <v>755</v>
      </c>
      <c r="M129" s="171" t="s">
        <v>720</v>
      </c>
      <c r="N129" s="36">
        <v>1922</v>
      </c>
      <c r="O129" s="36">
        <v>983</v>
      </c>
      <c r="P129" s="36">
        <v>939</v>
      </c>
      <c r="R129" s="171" t="s">
        <v>720</v>
      </c>
      <c r="S129" s="36">
        <v>4233</v>
      </c>
      <c r="T129" s="36">
        <v>2189</v>
      </c>
      <c r="U129" s="36">
        <v>2044</v>
      </c>
      <c r="V129" s="35"/>
    </row>
    <row r="130" spans="3:22" ht="15.75">
      <c r="C130" s="171" t="s">
        <v>721</v>
      </c>
      <c r="D130" s="36">
        <v>2201</v>
      </c>
      <c r="E130" s="36">
        <v>1094</v>
      </c>
      <c r="F130" s="36">
        <v>1107</v>
      </c>
      <c r="H130" s="171" t="s">
        <v>721</v>
      </c>
      <c r="I130" s="36">
        <v>1640</v>
      </c>
      <c r="J130" s="36">
        <v>864</v>
      </c>
      <c r="K130" s="36">
        <v>776</v>
      </c>
      <c r="M130" s="171" t="s">
        <v>721</v>
      </c>
      <c r="N130" s="36">
        <v>1940</v>
      </c>
      <c r="O130" s="36">
        <v>992</v>
      </c>
      <c r="P130" s="36">
        <v>948</v>
      </c>
      <c r="R130" s="171" t="s">
        <v>721</v>
      </c>
      <c r="S130" s="36">
        <v>4327</v>
      </c>
      <c r="T130" s="36">
        <v>2237</v>
      </c>
      <c r="U130" s="36">
        <v>2090</v>
      </c>
      <c r="V130" s="35"/>
    </row>
    <row r="131" spans="3:22" ht="15.75">
      <c r="C131" s="171" t="s">
        <v>722</v>
      </c>
      <c r="D131" s="36">
        <v>2316</v>
      </c>
      <c r="E131" s="36">
        <v>1152</v>
      </c>
      <c r="F131" s="36">
        <v>1164</v>
      </c>
      <c r="H131" s="171" t="s">
        <v>722</v>
      </c>
      <c r="I131" s="36">
        <v>1668</v>
      </c>
      <c r="J131" s="36">
        <v>879</v>
      </c>
      <c r="K131" s="36">
        <v>789</v>
      </c>
      <c r="M131" s="171" t="s">
        <v>722</v>
      </c>
      <c r="N131" s="36">
        <v>1932</v>
      </c>
      <c r="O131" s="36">
        <v>988</v>
      </c>
      <c r="P131" s="36">
        <v>944</v>
      </c>
      <c r="R131" s="171" t="s">
        <v>722</v>
      </c>
      <c r="S131" s="36">
        <v>4377</v>
      </c>
      <c r="T131" s="36">
        <v>2263</v>
      </c>
      <c r="U131" s="36">
        <v>2114</v>
      </c>
      <c r="V131" s="37"/>
    </row>
    <row r="133" ht="15">
      <c r="V133" s="38"/>
    </row>
    <row r="135" spans="3:18" ht="17.25">
      <c r="C135" s="24" t="s">
        <v>747</v>
      </c>
      <c r="H135" s="24" t="s">
        <v>748</v>
      </c>
      <c r="M135" s="24" t="s">
        <v>749</v>
      </c>
      <c r="R135" s="24" t="s">
        <v>750</v>
      </c>
    </row>
    <row r="137" spans="3:21" ht="31.5">
      <c r="C137" s="168" t="s">
        <v>727</v>
      </c>
      <c r="D137" s="169" t="s">
        <v>539</v>
      </c>
      <c r="E137" s="169" t="s">
        <v>540</v>
      </c>
      <c r="F137" s="169" t="s">
        <v>541</v>
      </c>
      <c r="G137" s="22"/>
      <c r="H137" s="168" t="s">
        <v>727</v>
      </c>
      <c r="I137" s="169" t="s">
        <v>539</v>
      </c>
      <c r="J137" s="169" t="s">
        <v>540</v>
      </c>
      <c r="K137" s="169" t="s">
        <v>541</v>
      </c>
      <c r="L137" s="22"/>
      <c r="M137" s="168" t="s">
        <v>727</v>
      </c>
      <c r="N137" s="169" t="s">
        <v>539</v>
      </c>
      <c r="O137" s="169" t="s">
        <v>540</v>
      </c>
      <c r="P137" s="169" t="s">
        <v>541</v>
      </c>
      <c r="Q137" s="22"/>
      <c r="R137" s="168" t="s">
        <v>727</v>
      </c>
      <c r="S137" s="169" t="s">
        <v>539</v>
      </c>
      <c r="T137" s="169" t="s">
        <v>540</v>
      </c>
      <c r="U137" s="169" t="s">
        <v>541</v>
      </c>
    </row>
    <row r="138" spans="3:21" ht="15.75">
      <c r="C138" s="168" t="s">
        <v>730</v>
      </c>
      <c r="D138" s="170">
        <f>SUM(D139:D157)</f>
        <v>6125</v>
      </c>
      <c r="E138" s="170">
        <f>SUM(E139:E157)</f>
        <v>3388</v>
      </c>
      <c r="F138" s="170">
        <f>SUM(F139:F157)</f>
        <v>2737</v>
      </c>
      <c r="G138" s="22"/>
      <c r="H138" s="168" t="s">
        <v>730</v>
      </c>
      <c r="I138" s="170">
        <f>SUM(I139:I157)</f>
        <v>127533</v>
      </c>
      <c r="J138" s="170">
        <f>SUM(J139:J157)</f>
        <v>65832</v>
      </c>
      <c r="K138" s="170">
        <f>SUM(K139:K157)</f>
        <v>61701</v>
      </c>
      <c r="L138" s="22"/>
      <c r="M138" s="168" t="s">
        <v>730</v>
      </c>
      <c r="N138" s="170">
        <f>SUM(N139:N157)</f>
        <v>246588</v>
      </c>
      <c r="O138" s="170">
        <f>SUM(O139:O157)</f>
        <v>126427</v>
      </c>
      <c r="P138" s="170">
        <f>SUM(P139:P157)</f>
        <v>120161</v>
      </c>
      <c r="Q138" s="22"/>
      <c r="R138" s="168" t="s">
        <v>730</v>
      </c>
      <c r="S138" s="170">
        <f>SUM(S139:S157)</f>
        <v>2434</v>
      </c>
      <c r="T138" s="170">
        <f>SUM(T139:T157)</f>
        <v>1325</v>
      </c>
      <c r="U138" s="170">
        <f>SUM(U139:U157)</f>
        <v>1109</v>
      </c>
    </row>
    <row r="139" spans="3:22" ht="15.75">
      <c r="C139" s="171" t="s">
        <v>704</v>
      </c>
      <c r="D139" s="36">
        <v>241</v>
      </c>
      <c r="E139" s="36">
        <v>131</v>
      </c>
      <c r="F139" s="36">
        <v>110</v>
      </c>
      <c r="G139" s="5"/>
      <c r="H139" s="171" t="s">
        <v>704</v>
      </c>
      <c r="I139" s="36">
        <v>6456</v>
      </c>
      <c r="J139" s="36">
        <v>3336</v>
      </c>
      <c r="K139" s="36">
        <v>3120</v>
      </c>
      <c r="L139" s="5"/>
      <c r="M139" s="171" t="s">
        <v>704</v>
      </c>
      <c r="N139" s="36">
        <v>13163</v>
      </c>
      <c r="O139" s="36">
        <v>6756</v>
      </c>
      <c r="P139" s="36">
        <v>6407</v>
      </c>
      <c r="Q139" s="5"/>
      <c r="R139" s="171" t="s">
        <v>704</v>
      </c>
      <c r="S139" s="36">
        <v>115</v>
      </c>
      <c r="T139" s="36">
        <v>62</v>
      </c>
      <c r="U139" s="36">
        <v>53</v>
      </c>
      <c r="V139" s="35"/>
    </row>
    <row r="140" spans="3:22" ht="15.75">
      <c r="C140" s="171" t="s">
        <v>705</v>
      </c>
      <c r="D140" s="36">
        <v>254</v>
      </c>
      <c r="E140" s="36">
        <v>141</v>
      </c>
      <c r="F140" s="36">
        <v>113</v>
      </c>
      <c r="G140" s="5"/>
      <c r="H140" s="171" t="s">
        <v>705</v>
      </c>
      <c r="I140" s="36">
        <v>6412</v>
      </c>
      <c r="J140" s="36">
        <v>3318</v>
      </c>
      <c r="K140" s="36">
        <v>3094</v>
      </c>
      <c r="L140" s="5"/>
      <c r="M140" s="171" t="s">
        <v>705</v>
      </c>
      <c r="N140" s="36">
        <v>13045</v>
      </c>
      <c r="O140" s="36">
        <v>6705</v>
      </c>
      <c r="P140" s="36">
        <v>6340</v>
      </c>
      <c r="Q140" s="5"/>
      <c r="R140" s="171" t="s">
        <v>705</v>
      </c>
      <c r="S140" s="36">
        <v>117</v>
      </c>
      <c r="T140" s="36">
        <v>64</v>
      </c>
      <c r="U140" s="36">
        <v>53</v>
      </c>
      <c r="V140" s="35"/>
    </row>
    <row r="141" spans="3:22" ht="15.75">
      <c r="C141" s="171" t="s">
        <v>706</v>
      </c>
      <c r="D141" s="36">
        <v>265</v>
      </c>
      <c r="E141" s="36">
        <v>147</v>
      </c>
      <c r="F141" s="36">
        <v>118</v>
      </c>
      <c r="G141" s="5"/>
      <c r="H141" s="171" t="s">
        <v>706</v>
      </c>
      <c r="I141" s="36">
        <v>6386</v>
      </c>
      <c r="J141" s="36">
        <v>3308</v>
      </c>
      <c r="K141" s="36">
        <v>3078</v>
      </c>
      <c r="L141" s="5"/>
      <c r="M141" s="171" t="s">
        <v>706</v>
      </c>
      <c r="N141" s="36">
        <v>12952</v>
      </c>
      <c r="O141" s="36">
        <v>6663</v>
      </c>
      <c r="P141" s="36">
        <v>6289</v>
      </c>
      <c r="Q141" s="5"/>
      <c r="R141" s="171" t="s">
        <v>706</v>
      </c>
      <c r="S141" s="36">
        <v>115</v>
      </c>
      <c r="T141" s="36">
        <v>63</v>
      </c>
      <c r="U141" s="36">
        <v>52</v>
      </c>
      <c r="V141" s="35"/>
    </row>
    <row r="142" spans="3:22" ht="15.75">
      <c r="C142" s="171" t="s">
        <v>707</v>
      </c>
      <c r="D142" s="36">
        <v>272</v>
      </c>
      <c r="E142" s="36">
        <v>151</v>
      </c>
      <c r="F142" s="36">
        <v>121</v>
      </c>
      <c r="H142" s="171" t="s">
        <v>707</v>
      </c>
      <c r="I142" s="36">
        <v>6377</v>
      </c>
      <c r="J142" s="36">
        <v>3305</v>
      </c>
      <c r="K142" s="36">
        <v>3072</v>
      </c>
      <c r="M142" s="171" t="s">
        <v>707</v>
      </c>
      <c r="N142" s="36">
        <v>12890</v>
      </c>
      <c r="O142" s="36">
        <v>6635</v>
      </c>
      <c r="P142" s="36">
        <v>6255</v>
      </c>
      <c r="R142" s="171" t="s">
        <v>707</v>
      </c>
      <c r="S142" s="36">
        <v>115</v>
      </c>
      <c r="T142" s="36">
        <v>63</v>
      </c>
      <c r="U142" s="36">
        <v>52</v>
      </c>
      <c r="V142" s="35"/>
    </row>
    <row r="143" spans="3:22" ht="15.75">
      <c r="C143" s="171" t="s">
        <v>708</v>
      </c>
      <c r="D143" s="36">
        <v>276</v>
      </c>
      <c r="E143" s="36">
        <v>153</v>
      </c>
      <c r="F143" s="36">
        <v>123</v>
      </c>
      <c r="H143" s="171" t="s">
        <v>708</v>
      </c>
      <c r="I143" s="36">
        <v>6385</v>
      </c>
      <c r="J143" s="36">
        <v>3310</v>
      </c>
      <c r="K143" s="36">
        <v>3075</v>
      </c>
      <c r="M143" s="171" t="s">
        <v>708</v>
      </c>
      <c r="N143" s="36">
        <v>12857</v>
      </c>
      <c r="O143" s="36">
        <v>6619</v>
      </c>
      <c r="P143" s="36">
        <v>6238</v>
      </c>
      <c r="R143" s="171" t="s">
        <v>708</v>
      </c>
      <c r="S143" s="36">
        <v>116</v>
      </c>
      <c r="T143" s="36">
        <v>63</v>
      </c>
      <c r="U143" s="36">
        <v>53</v>
      </c>
      <c r="V143" s="35"/>
    </row>
    <row r="144" spans="3:22" ht="15.75">
      <c r="C144" s="171" t="s">
        <v>709</v>
      </c>
      <c r="D144" s="36">
        <v>290</v>
      </c>
      <c r="E144" s="36">
        <v>161</v>
      </c>
      <c r="F144" s="36">
        <v>129</v>
      </c>
      <c r="H144" s="171" t="s">
        <v>709</v>
      </c>
      <c r="I144" s="36">
        <v>6364</v>
      </c>
      <c r="J144" s="36">
        <v>3301</v>
      </c>
      <c r="K144" s="36">
        <v>3063</v>
      </c>
      <c r="M144" s="171" t="s">
        <v>709</v>
      </c>
      <c r="N144" s="36">
        <v>12747</v>
      </c>
      <c r="O144" s="36">
        <v>6567</v>
      </c>
      <c r="P144" s="36">
        <v>6180</v>
      </c>
      <c r="R144" s="171" t="s">
        <v>709</v>
      </c>
      <c r="S144" s="36">
        <v>113</v>
      </c>
      <c r="T144" s="36">
        <v>62</v>
      </c>
      <c r="U144" s="36">
        <v>51</v>
      </c>
      <c r="V144" s="35"/>
    </row>
    <row r="145" spans="3:22" ht="15.75">
      <c r="C145" s="171" t="s">
        <v>710</v>
      </c>
      <c r="D145" s="36">
        <v>288</v>
      </c>
      <c r="E145" s="36">
        <v>160</v>
      </c>
      <c r="F145" s="36">
        <v>128</v>
      </c>
      <c r="H145" s="171" t="s">
        <v>710</v>
      </c>
      <c r="I145" s="36">
        <v>6413</v>
      </c>
      <c r="J145" s="36">
        <v>3325</v>
      </c>
      <c r="K145" s="36">
        <v>3088</v>
      </c>
      <c r="M145" s="171" t="s">
        <v>710</v>
      </c>
      <c r="N145" s="36">
        <v>12790</v>
      </c>
      <c r="O145" s="36">
        <v>6585</v>
      </c>
      <c r="P145" s="36">
        <v>6205</v>
      </c>
      <c r="R145" s="171" t="s">
        <v>710</v>
      </c>
      <c r="S145" s="36">
        <v>117</v>
      </c>
      <c r="T145" s="36">
        <v>64</v>
      </c>
      <c r="U145" s="36">
        <v>53</v>
      </c>
      <c r="V145" s="35"/>
    </row>
    <row r="146" spans="3:22" ht="15.75">
      <c r="C146" s="171" t="s">
        <v>711</v>
      </c>
      <c r="D146" s="36">
        <v>284</v>
      </c>
      <c r="E146" s="36">
        <v>158</v>
      </c>
      <c r="F146" s="36">
        <v>126</v>
      </c>
      <c r="H146" s="171" t="s">
        <v>711</v>
      </c>
      <c r="I146" s="36">
        <v>6479</v>
      </c>
      <c r="J146" s="36">
        <v>3356</v>
      </c>
      <c r="K146" s="36">
        <v>3123</v>
      </c>
      <c r="M146" s="171" t="s">
        <v>711</v>
      </c>
      <c r="N146" s="36">
        <v>12860</v>
      </c>
      <c r="O146" s="36">
        <v>6615</v>
      </c>
      <c r="P146" s="36">
        <v>6245</v>
      </c>
      <c r="R146" s="171" t="s">
        <v>711</v>
      </c>
      <c r="S146" s="36">
        <v>123</v>
      </c>
      <c r="T146" s="36">
        <v>67</v>
      </c>
      <c r="U146" s="36">
        <v>56</v>
      </c>
      <c r="V146" s="35"/>
    </row>
    <row r="147" spans="3:22" ht="15.75">
      <c r="C147" s="171" t="s">
        <v>712</v>
      </c>
      <c r="D147" s="36">
        <v>280</v>
      </c>
      <c r="E147" s="36">
        <v>155</v>
      </c>
      <c r="F147" s="36">
        <v>125</v>
      </c>
      <c r="H147" s="171" t="s">
        <v>712</v>
      </c>
      <c r="I147" s="36">
        <v>6558</v>
      </c>
      <c r="J147" s="36">
        <v>3393</v>
      </c>
      <c r="K147" s="36">
        <v>3165</v>
      </c>
      <c r="M147" s="171" t="s">
        <v>712</v>
      </c>
      <c r="N147" s="36">
        <v>12949</v>
      </c>
      <c r="O147" s="36">
        <v>6653</v>
      </c>
      <c r="P147" s="36">
        <v>6296</v>
      </c>
      <c r="R147" s="171" t="s">
        <v>712</v>
      </c>
      <c r="S147" s="36">
        <v>130</v>
      </c>
      <c r="T147" s="36">
        <v>71</v>
      </c>
      <c r="U147" s="36">
        <v>59</v>
      </c>
      <c r="V147" s="35"/>
    </row>
    <row r="148" spans="3:22" ht="15.75">
      <c r="C148" s="171" t="s">
        <v>713</v>
      </c>
      <c r="D148" s="36">
        <v>276</v>
      </c>
      <c r="E148" s="36">
        <v>153</v>
      </c>
      <c r="F148" s="36">
        <v>123</v>
      </c>
      <c r="H148" s="171" t="s">
        <v>713</v>
      </c>
      <c r="I148" s="36">
        <v>6646</v>
      </c>
      <c r="J148" s="36">
        <v>3434</v>
      </c>
      <c r="K148" s="36">
        <v>3212</v>
      </c>
      <c r="M148" s="171" t="s">
        <v>713</v>
      </c>
      <c r="N148" s="36">
        <v>13045</v>
      </c>
      <c r="O148" s="36">
        <v>6694</v>
      </c>
      <c r="P148" s="36">
        <v>6351</v>
      </c>
      <c r="R148" s="171" t="s">
        <v>713</v>
      </c>
      <c r="S148" s="36">
        <v>136</v>
      </c>
      <c r="T148" s="36">
        <v>74</v>
      </c>
      <c r="U148" s="36">
        <v>62</v>
      </c>
      <c r="V148" s="35"/>
    </row>
    <row r="149" spans="3:22" ht="15.75">
      <c r="C149" s="171" t="s">
        <v>714</v>
      </c>
      <c r="D149" s="36">
        <v>271</v>
      </c>
      <c r="E149" s="36">
        <v>150</v>
      </c>
      <c r="F149" s="36">
        <v>121</v>
      </c>
      <c r="H149" s="171" t="s">
        <v>714</v>
      </c>
      <c r="I149" s="36">
        <v>6737</v>
      </c>
      <c r="J149" s="36">
        <v>3476</v>
      </c>
      <c r="K149" s="36">
        <v>3261</v>
      </c>
      <c r="M149" s="171" t="s">
        <v>714</v>
      </c>
      <c r="N149" s="36">
        <v>13146</v>
      </c>
      <c r="O149" s="36">
        <v>6736</v>
      </c>
      <c r="P149" s="36">
        <v>6410</v>
      </c>
      <c r="R149" s="171" t="s">
        <v>714</v>
      </c>
      <c r="S149" s="36">
        <v>143</v>
      </c>
      <c r="T149" s="36">
        <v>78</v>
      </c>
      <c r="U149" s="36">
        <v>65</v>
      </c>
      <c r="V149" s="35"/>
    </row>
    <row r="150" spans="3:22" ht="15.75">
      <c r="C150" s="171" t="s">
        <v>715</v>
      </c>
      <c r="D150" s="36">
        <v>262</v>
      </c>
      <c r="E150" s="36">
        <v>145</v>
      </c>
      <c r="F150" s="36">
        <v>117</v>
      </c>
      <c r="H150" s="171" t="s">
        <v>715</v>
      </c>
      <c r="I150" s="36">
        <v>6829</v>
      </c>
      <c r="J150" s="36">
        <v>3517</v>
      </c>
      <c r="K150" s="36">
        <v>3312</v>
      </c>
      <c r="M150" s="171" t="s">
        <v>715</v>
      </c>
      <c r="N150" s="36">
        <v>13251</v>
      </c>
      <c r="O150" s="36">
        <v>6777</v>
      </c>
      <c r="P150" s="36">
        <v>6474</v>
      </c>
      <c r="R150" s="171" t="s">
        <v>715</v>
      </c>
      <c r="S150" s="36">
        <v>151</v>
      </c>
      <c r="T150" s="36">
        <v>82</v>
      </c>
      <c r="U150" s="36">
        <v>69</v>
      </c>
      <c r="V150" s="35"/>
    </row>
    <row r="151" spans="3:22" ht="15.75">
      <c r="C151" s="171" t="s">
        <v>716</v>
      </c>
      <c r="D151" s="36">
        <v>271</v>
      </c>
      <c r="E151" s="36">
        <v>150</v>
      </c>
      <c r="F151" s="36">
        <v>121</v>
      </c>
      <c r="H151" s="171" t="s">
        <v>716</v>
      </c>
      <c r="I151" s="36">
        <v>6915</v>
      </c>
      <c r="J151" s="36">
        <v>3557</v>
      </c>
      <c r="K151" s="36">
        <v>3358</v>
      </c>
      <c r="M151" s="171" t="s">
        <v>716</v>
      </c>
      <c r="N151" s="36">
        <v>13300</v>
      </c>
      <c r="O151" s="36">
        <v>6794</v>
      </c>
      <c r="P151" s="36">
        <v>6506</v>
      </c>
      <c r="R151" s="171" t="s">
        <v>716</v>
      </c>
      <c r="S151" s="36">
        <v>153</v>
      </c>
      <c r="T151" s="36">
        <v>83</v>
      </c>
      <c r="U151" s="36">
        <v>70</v>
      </c>
      <c r="V151" s="35"/>
    </row>
    <row r="152" spans="3:22" ht="15.75">
      <c r="C152" s="171" t="s">
        <v>717</v>
      </c>
      <c r="D152" s="36">
        <v>310</v>
      </c>
      <c r="E152" s="36">
        <v>171</v>
      </c>
      <c r="F152" s="36">
        <v>139</v>
      </c>
      <c r="H152" s="171" t="s">
        <v>717</v>
      </c>
      <c r="I152" s="36">
        <v>6991</v>
      </c>
      <c r="J152" s="36">
        <v>3596</v>
      </c>
      <c r="K152" s="36">
        <v>3395</v>
      </c>
      <c r="M152" s="171" t="s">
        <v>717</v>
      </c>
      <c r="N152" s="36">
        <v>13263</v>
      </c>
      <c r="O152" s="36">
        <v>6774</v>
      </c>
      <c r="P152" s="36">
        <v>6489</v>
      </c>
      <c r="R152" s="171" t="s">
        <v>717</v>
      </c>
      <c r="S152" s="36">
        <v>151</v>
      </c>
      <c r="T152" s="36">
        <v>82</v>
      </c>
      <c r="U152" s="36">
        <v>69</v>
      </c>
      <c r="V152" s="35"/>
    </row>
    <row r="153" spans="3:22" ht="15.75">
      <c r="C153" s="171" t="s">
        <v>718</v>
      </c>
      <c r="D153" s="36">
        <v>366</v>
      </c>
      <c r="E153" s="36">
        <v>202</v>
      </c>
      <c r="F153" s="36">
        <v>164</v>
      </c>
      <c r="H153" s="171" t="s">
        <v>718</v>
      </c>
      <c r="I153" s="36">
        <v>7053</v>
      </c>
      <c r="J153" s="36">
        <v>3629</v>
      </c>
      <c r="K153" s="36">
        <v>3424</v>
      </c>
      <c r="M153" s="171" t="s">
        <v>718</v>
      </c>
      <c r="N153" s="36">
        <v>13158</v>
      </c>
      <c r="O153" s="36">
        <v>6723</v>
      </c>
      <c r="P153" s="36">
        <v>6435</v>
      </c>
      <c r="R153" s="171" t="s">
        <v>718</v>
      </c>
      <c r="S153" s="36">
        <v>143</v>
      </c>
      <c r="T153" s="36">
        <v>78</v>
      </c>
      <c r="U153" s="36">
        <v>65</v>
      </c>
      <c r="V153" s="35"/>
    </row>
    <row r="154" spans="3:22" ht="15.75">
      <c r="C154" s="171" t="s">
        <v>719</v>
      </c>
      <c r="D154" s="36">
        <v>418</v>
      </c>
      <c r="E154" s="36">
        <v>231</v>
      </c>
      <c r="F154" s="36">
        <v>187</v>
      </c>
      <c r="H154" s="171" t="s">
        <v>719</v>
      </c>
      <c r="I154" s="36">
        <v>7112</v>
      </c>
      <c r="J154" s="36">
        <v>3659</v>
      </c>
      <c r="K154" s="36">
        <v>3453</v>
      </c>
      <c r="M154" s="171" t="s">
        <v>719</v>
      </c>
      <c r="N154" s="36">
        <v>13054</v>
      </c>
      <c r="O154" s="36">
        <v>6670</v>
      </c>
      <c r="P154" s="36">
        <v>6384</v>
      </c>
      <c r="R154" s="171" t="s">
        <v>719</v>
      </c>
      <c r="S154" s="36">
        <v>136</v>
      </c>
      <c r="T154" s="36">
        <v>74</v>
      </c>
      <c r="U154" s="36">
        <v>62</v>
      </c>
      <c r="V154" s="35"/>
    </row>
    <row r="155" spans="3:22" ht="15.75">
      <c r="C155" s="171" t="s">
        <v>720</v>
      </c>
      <c r="D155" s="36">
        <v>474</v>
      </c>
      <c r="E155" s="36">
        <v>262</v>
      </c>
      <c r="F155" s="36">
        <v>212</v>
      </c>
      <c r="H155" s="171" t="s">
        <v>720</v>
      </c>
      <c r="I155" s="36">
        <v>7180</v>
      </c>
      <c r="J155" s="36">
        <v>3692</v>
      </c>
      <c r="K155" s="36">
        <v>3488</v>
      </c>
      <c r="M155" s="171" t="s">
        <v>720</v>
      </c>
      <c r="N155" s="36">
        <v>12964</v>
      </c>
      <c r="O155" s="36">
        <v>6620</v>
      </c>
      <c r="P155" s="36">
        <v>6344</v>
      </c>
      <c r="R155" s="171" t="s">
        <v>720</v>
      </c>
      <c r="S155" s="36">
        <v>129</v>
      </c>
      <c r="T155" s="36">
        <v>70</v>
      </c>
      <c r="U155" s="36">
        <v>59</v>
      </c>
      <c r="V155" s="35"/>
    </row>
    <row r="156" spans="3:22" ht="15.75">
      <c r="C156" s="171" t="s">
        <v>721</v>
      </c>
      <c r="D156" s="36">
        <v>511</v>
      </c>
      <c r="E156" s="36">
        <v>282</v>
      </c>
      <c r="F156" s="36">
        <v>229</v>
      </c>
      <c r="H156" s="171" t="s">
        <v>721</v>
      </c>
      <c r="I156" s="36">
        <v>7175</v>
      </c>
      <c r="J156" s="36">
        <v>3688</v>
      </c>
      <c r="K156" s="36">
        <v>3487</v>
      </c>
      <c r="M156" s="171" t="s">
        <v>721</v>
      </c>
      <c r="N156" s="36">
        <v>12759</v>
      </c>
      <c r="O156" s="36">
        <v>6513</v>
      </c>
      <c r="P156" s="36">
        <v>6246</v>
      </c>
      <c r="R156" s="171" t="s">
        <v>721</v>
      </c>
      <c r="S156" s="36">
        <v>120</v>
      </c>
      <c r="T156" s="36">
        <v>65</v>
      </c>
      <c r="U156" s="36">
        <v>55</v>
      </c>
      <c r="V156" s="35"/>
    </row>
    <row r="157" spans="3:22" ht="15.75">
      <c r="C157" s="171" t="s">
        <v>722</v>
      </c>
      <c r="D157" s="36">
        <v>516</v>
      </c>
      <c r="E157" s="36">
        <v>285</v>
      </c>
      <c r="F157" s="36">
        <v>231</v>
      </c>
      <c r="H157" s="171" t="s">
        <v>722</v>
      </c>
      <c r="I157" s="36">
        <v>7065</v>
      </c>
      <c r="J157" s="36">
        <v>3632</v>
      </c>
      <c r="K157" s="36">
        <v>3433</v>
      </c>
      <c r="M157" s="171" t="s">
        <v>722</v>
      </c>
      <c r="N157" s="36">
        <v>12395</v>
      </c>
      <c r="O157" s="36">
        <v>6328</v>
      </c>
      <c r="P157" s="36">
        <v>6067</v>
      </c>
      <c r="R157" s="171" t="s">
        <v>722</v>
      </c>
      <c r="S157" s="36">
        <v>111</v>
      </c>
      <c r="T157" s="36">
        <v>60</v>
      </c>
      <c r="U157" s="36">
        <v>51</v>
      </c>
      <c r="V157" s="37"/>
    </row>
  </sheetData>
  <sheetProtection/>
  <mergeCells count="1">
    <mergeCell ref="F2:L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T139"/>
  <sheetViews>
    <sheetView showGridLines="0" zoomScale="50" zoomScaleNormal="50" zoomScalePageLayoutView="0" workbookViewId="0" topLeftCell="A1">
      <selection activeCell="A1" sqref="A1"/>
    </sheetView>
  </sheetViews>
  <sheetFormatPr defaultColWidth="11.421875" defaultRowHeight="15"/>
  <cols>
    <col min="1" max="1" width="25.7109375" style="0" customWidth="1"/>
    <col min="2" max="2" width="25.7109375" style="1" customWidth="1"/>
    <col min="3" max="3" width="32.28125" style="172" customWidth="1"/>
    <col min="4" max="4" width="25.421875" style="1" customWidth="1"/>
    <col min="5" max="5" width="41.57421875" style="1" customWidth="1"/>
    <col min="6" max="6" width="46.421875" style="1" customWidth="1"/>
    <col min="7" max="7" width="18.8515625" style="1" customWidth="1"/>
    <col min="8" max="8" width="18.421875" style="6" customWidth="1"/>
    <col min="9" max="9" width="0" style="6" hidden="1" customWidth="1"/>
    <col min="10" max="10" width="0" style="2" hidden="1" customWidth="1"/>
    <col min="11" max="11" width="20.140625" style="2" customWidth="1"/>
    <col min="12" max="12" width="12.140625" style="2" customWidth="1"/>
    <col min="13" max="13" width="21.57421875" style="2" customWidth="1"/>
    <col min="14" max="14" width="12.140625" style="3" customWidth="1"/>
    <col min="15" max="15" width="22.140625" style="4" customWidth="1"/>
    <col min="16" max="16" width="12.8515625" style="4" customWidth="1"/>
    <col min="17" max="17" width="0" style="4" hidden="1" customWidth="1"/>
    <col min="18" max="18" width="24.28125" style="5" customWidth="1"/>
    <col min="19" max="19" width="21.421875" style="5" bestFit="1" customWidth="1"/>
    <col min="20" max="20" width="22.00390625" style="0" customWidth="1"/>
  </cols>
  <sheetData>
    <row r="1" ht="15"/>
    <row r="2" ht="15" customHeight="1">
      <c r="A2" s="55" t="s">
        <v>468</v>
      </c>
    </row>
    <row r="3" ht="15"/>
    <row r="4" spans="1:20" s="262" customFormat="1" ht="18">
      <c r="A4" s="433" t="s">
        <v>510</v>
      </c>
      <c r="B4" s="433"/>
      <c r="C4" s="433"/>
      <c r="D4" s="433"/>
      <c r="E4" s="434" t="s">
        <v>752</v>
      </c>
      <c r="F4" s="435"/>
      <c r="G4" s="435"/>
      <c r="H4" s="435"/>
      <c r="I4" s="435"/>
      <c r="J4" s="435"/>
      <c r="K4" s="435"/>
      <c r="L4" s="435"/>
      <c r="M4" s="435"/>
      <c r="N4" s="435"/>
      <c r="O4" s="435"/>
      <c r="P4" s="435"/>
      <c r="Q4" s="259"/>
      <c r="R4" s="260"/>
      <c r="S4" s="260"/>
      <c r="T4" s="261"/>
    </row>
    <row r="5" spans="1:20" s="262" customFormat="1" ht="18">
      <c r="A5" s="433"/>
      <c r="B5" s="433"/>
      <c r="C5" s="433"/>
      <c r="D5" s="433"/>
      <c r="E5" s="263"/>
      <c r="F5" s="263"/>
      <c r="G5" s="263"/>
      <c r="H5" s="263"/>
      <c r="I5" s="263"/>
      <c r="J5" s="263"/>
      <c r="K5" s="263"/>
      <c r="L5" s="263"/>
      <c r="M5" s="263"/>
      <c r="N5" s="263"/>
      <c r="O5" s="263"/>
      <c r="P5" s="263"/>
      <c r="Q5" s="440" t="s">
        <v>753</v>
      </c>
      <c r="R5" s="440"/>
      <c r="S5" s="440"/>
      <c r="T5" s="440"/>
    </row>
    <row r="6" spans="1:20" ht="34.5" customHeight="1">
      <c r="A6" s="430" t="s">
        <v>126</v>
      </c>
      <c r="B6" s="430" t="s">
        <v>127</v>
      </c>
      <c r="C6" s="430" t="s">
        <v>128</v>
      </c>
      <c r="D6" s="430" t="s">
        <v>130</v>
      </c>
      <c r="E6" s="431" t="s">
        <v>529</v>
      </c>
      <c r="F6" s="431" t="s">
        <v>922</v>
      </c>
      <c r="G6" s="436" t="s">
        <v>754</v>
      </c>
      <c r="H6" s="431" t="s">
        <v>914</v>
      </c>
      <c r="I6" s="438" t="s">
        <v>755</v>
      </c>
      <c r="J6" s="439"/>
      <c r="K6" s="438" t="s">
        <v>756</v>
      </c>
      <c r="L6" s="439"/>
      <c r="M6" s="438" t="s">
        <v>757</v>
      </c>
      <c r="N6" s="439"/>
      <c r="O6" s="438" t="s">
        <v>758</v>
      </c>
      <c r="P6" s="439"/>
      <c r="Q6" s="430" t="s">
        <v>759</v>
      </c>
      <c r="R6" s="430" t="s">
        <v>760</v>
      </c>
      <c r="S6" s="430" t="s">
        <v>761</v>
      </c>
      <c r="T6" s="430" t="s">
        <v>762</v>
      </c>
    </row>
    <row r="7" spans="1:20" s="265" customFormat="1" ht="49.5" customHeight="1">
      <c r="A7" s="430"/>
      <c r="B7" s="430"/>
      <c r="C7" s="430"/>
      <c r="D7" s="430"/>
      <c r="E7" s="432"/>
      <c r="F7" s="432"/>
      <c r="G7" s="437"/>
      <c r="H7" s="432"/>
      <c r="I7" s="264" t="s">
        <v>763</v>
      </c>
      <c r="J7" s="134" t="s">
        <v>764</v>
      </c>
      <c r="K7" s="264" t="s">
        <v>763</v>
      </c>
      <c r="L7" s="134" t="s">
        <v>764</v>
      </c>
      <c r="M7" s="264" t="s">
        <v>763</v>
      </c>
      <c r="N7" s="134" t="s">
        <v>764</v>
      </c>
      <c r="O7" s="264" t="s">
        <v>763</v>
      </c>
      <c r="P7" s="134" t="s">
        <v>764</v>
      </c>
      <c r="Q7" s="430"/>
      <c r="R7" s="430"/>
      <c r="S7" s="430"/>
      <c r="T7" s="430"/>
    </row>
    <row r="8" spans="1:20" s="265" customFormat="1" ht="16.5">
      <c r="A8" s="266"/>
      <c r="B8" s="264"/>
      <c r="C8" s="264"/>
      <c r="D8" s="264"/>
      <c r="E8" s="264"/>
      <c r="F8" s="267"/>
      <c r="G8" s="264"/>
      <c r="H8" s="268"/>
      <c r="I8" s="264"/>
      <c r="J8" s="264"/>
      <c r="K8" s="264"/>
      <c r="L8" s="264"/>
      <c r="M8" s="264"/>
      <c r="N8" s="264"/>
      <c r="O8" s="264"/>
      <c r="P8" s="264"/>
      <c r="Q8" s="267"/>
      <c r="R8" s="267"/>
      <c r="S8" s="267"/>
      <c r="T8" s="267"/>
    </row>
    <row r="9" spans="1:20" ht="18.75">
      <c r="A9" s="269" t="s">
        <v>131</v>
      </c>
      <c r="B9" s="270"/>
      <c r="C9" s="270"/>
      <c r="D9" s="270"/>
      <c r="E9" s="270"/>
      <c r="F9" s="270"/>
      <c r="G9" s="270"/>
      <c r="H9" s="271"/>
      <c r="I9" s="270"/>
      <c r="J9" s="270"/>
      <c r="K9" s="270"/>
      <c r="L9" s="270"/>
      <c r="M9" s="270"/>
      <c r="N9" s="270"/>
      <c r="O9" s="270"/>
      <c r="P9" s="270"/>
      <c r="Q9" s="272"/>
      <c r="R9" s="273"/>
      <c r="S9" s="273"/>
      <c r="T9" s="274"/>
    </row>
    <row r="10" spans="1:20" ht="18.75">
      <c r="A10" s="275" t="s">
        <v>132</v>
      </c>
      <c r="B10" s="276"/>
      <c r="C10" s="276"/>
      <c r="D10" s="276"/>
      <c r="E10" s="276"/>
      <c r="F10" s="276"/>
      <c r="G10" s="276"/>
      <c r="H10" s="277"/>
      <c r="I10" s="276"/>
      <c r="J10" s="276"/>
      <c r="K10" s="276"/>
      <c r="L10" s="276"/>
      <c r="M10" s="276"/>
      <c r="N10" s="276"/>
      <c r="O10" s="276"/>
      <c r="P10" s="276"/>
      <c r="Q10" s="278"/>
      <c r="R10" s="276"/>
      <c r="S10" s="276"/>
      <c r="T10" s="277"/>
    </row>
    <row r="11" spans="1:20" ht="108.75" customHeight="1">
      <c r="A11" s="422" t="s">
        <v>133</v>
      </c>
      <c r="B11" s="422" t="s">
        <v>134</v>
      </c>
      <c r="C11" s="280" t="s">
        <v>765</v>
      </c>
      <c r="D11" s="280" t="s">
        <v>174</v>
      </c>
      <c r="E11" s="280" t="s">
        <v>766</v>
      </c>
      <c r="F11" s="281" t="s">
        <v>767</v>
      </c>
      <c r="G11" s="282"/>
      <c r="H11" s="282"/>
      <c r="I11" s="281"/>
      <c r="J11" s="281"/>
      <c r="K11" s="281"/>
      <c r="L11" s="281"/>
      <c r="M11" s="281"/>
      <c r="N11" s="281"/>
      <c r="O11" s="281"/>
      <c r="P11" s="283"/>
      <c r="Q11" s="26" t="s">
        <v>768</v>
      </c>
      <c r="R11" s="281"/>
      <c r="S11" s="281"/>
      <c r="T11" s="281"/>
    </row>
    <row r="12" spans="1:20" ht="108.75" customHeight="1">
      <c r="A12" s="423"/>
      <c r="B12" s="423"/>
      <c r="C12" s="89" t="s">
        <v>175</v>
      </c>
      <c r="D12" s="89" t="s">
        <v>174</v>
      </c>
      <c r="E12" s="89" t="s">
        <v>769</v>
      </c>
      <c r="F12" s="281" t="s">
        <v>770</v>
      </c>
      <c r="G12" s="282"/>
      <c r="H12" s="282"/>
      <c r="I12" s="281"/>
      <c r="J12" s="281"/>
      <c r="K12" s="281"/>
      <c r="L12" s="281"/>
      <c r="M12" s="281"/>
      <c r="N12" s="281"/>
      <c r="O12" s="281"/>
      <c r="P12" s="283"/>
      <c r="Q12" s="26" t="s">
        <v>771</v>
      </c>
      <c r="R12" s="281"/>
      <c r="S12" s="281"/>
      <c r="T12" s="281"/>
    </row>
    <row r="13" spans="1:20" ht="116.25" customHeight="1">
      <c r="A13" s="418" t="s">
        <v>176</v>
      </c>
      <c r="B13" s="418" t="s">
        <v>177</v>
      </c>
      <c r="C13" s="418" t="s">
        <v>178</v>
      </c>
      <c r="D13" s="89" t="s">
        <v>179</v>
      </c>
      <c r="E13" s="281" t="s">
        <v>772</v>
      </c>
      <c r="F13" s="281" t="s">
        <v>773</v>
      </c>
      <c r="G13" s="282"/>
      <c r="H13" s="282"/>
      <c r="I13" s="281"/>
      <c r="J13" s="281"/>
      <c r="K13" s="281"/>
      <c r="L13" s="281"/>
      <c r="M13" s="281"/>
      <c r="N13" s="281"/>
      <c r="O13" s="281"/>
      <c r="P13" s="283"/>
      <c r="Q13" s="26" t="s">
        <v>774</v>
      </c>
      <c r="R13" s="281"/>
      <c r="S13" s="281"/>
      <c r="T13" s="281"/>
    </row>
    <row r="14" spans="1:20" ht="116.25" customHeight="1">
      <c r="A14" s="418"/>
      <c r="B14" s="418"/>
      <c r="C14" s="418"/>
      <c r="D14" s="89" t="s">
        <v>180</v>
      </c>
      <c r="E14" s="281" t="s">
        <v>775</v>
      </c>
      <c r="F14" s="281" t="s">
        <v>776</v>
      </c>
      <c r="G14" s="282"/>
      <c r="H14" s="282"/>
      <c r="I14" s="281"/>
      <c r="J14" s="281"/>
      <c r="K14" s="281"/>
      <c r="L14" s="281"/>
      <c r="M14" s="281"/>
      <c r="N14" s="281"/>
      <c r="O14" s="281"/>
      <c r="P14" s="283"/>
      <c r="Q14" s="26" t="s">
        <v>777</v>
      </c>
      <c r="R14" s="281"/>
      <c r="S14" s="281"/>
      <c r="T14" s="281"/>
    </row>
    <row r="15" spans="1:20" ht="116.25" customHeight="1">
      <c r="A15" s="418" t="s">
        <v>176</v>
      </c>
      <c r="B15" s="418" t="s">
        <v>181</v>
      </c>
      <c r="C15" s="89" t="s">
        <v>182</v>
      </c>
      <c r="D15" s="89" t="s">
        <v>183</v>
      </c>
      <c r="E15" s="89" t="s">
        <v>778</v>
      </c>
      <c r="F15" s="281" t="s">
        <v>779</v>
      </c>
      <c r="G15" s="282"/>
      <c r="H15" s="282"/>
      <c r="I15" s="281"/>
      <c r="J15" s="281"/>
      <c r="K15" s="281"/>
      <c r="L15" s="281"/>
      <c r="M15" s="281"/>
      <c r="N15" s="281"/>
      <c r="O15" s="281"/>
      <c r="P15" s="283"/>
      <c r="Q15" s="26" t="s">
        <v>780</v>
      </c>
      <c r="R15" s="281"/>
      <c r="S15" s="281"/>
      <c r="T15" s="281"/>
    </row>
    <row r="16" spans="1:20" ht="116.25" customHeight="1">
      <c r="A16" s="418"/>
      <c r="B16" s="418"/>
      <c r="C16" s="89" t="s">
        <v>184</v>
      </c>
      <c r="D16" s="89" t="s">
        <v>183</v>
      </c>
      <c r="E16" s="89" t="s">
        <v>781</v>
      </c>
      <c r="F16" s="281" t="s">
        <v>782</v>
      </c>
      <c r="G16" s="282"/>
      <c r="H16" s="282"/>
      <c r="I16" s="281"/>
      <c r="J16" s="281"/>
      <c r="K16" s="281"/>
      <c r="L16" s="281"/>
      <c r="M16" s="281"/>
      <c r="N16" s="281"/>
      <c r="O16" s="281"/>
      <c r="P16" s="283"/>
      <c r="Q16" s="26" t="s">
        <v>777</v>
      </c>
      <c r="R16" s="281"/>
      <c r="S16" s="281"/>
      <c r="T16" s="281"/>
    </row>
    <row r="17" spans="1:20" ht="116.25" customHeight="1">
      <c r="A17" s="418"/>
      <c r="B17" s="418"/>
      <c r="C17" s="89" t="s">
        <v>185</v>
      </c>
      <c r="D17" s="89" t="s">
        <v>183</v>
      </c>
      <c r="E17" s="89" t="s">
        <v>783</v>
      </c>
      <c r="F17" s="281" t="s">
        <v>784</v>
      </c>
      <c r="G17" s="282"/>
      <c r="H17" s="282"/>
      <c r="I17" s="281"/>
      <c r="J17" s="281"/>
      <c r="K17" s="281"/>
      <c r="L17" s="281"/>
      <c r="M17" s="281"/>
      <c r="N17" s="281"/>
      <c r="O17" s="281"/>
      <c r="P17" s="283"/>
      <c r="Q17" s="26" t="s">
        <v>777</v>
      </c>
      <c r="R17" s="281"/>
      <c r="S17" s="281"/>
      <c r="T17" s="281"/>
    </row>
    <row r="18" spans="1:20" ht="79.5" customHeight="1">
      <c r="A18" s="426" t="s">
        <v>176</v>
      </c>
      <c r="B18" s="427" t="s">
        <v>186</v>
      </c>
      <c r="C18" s="426" t="s">
        <v>187</v>
      </c>
      <c r="D18" s="89" t="s">
        <v>785</v>
      </c>
      <c r="E18" s="89" t="s">
        <v>786</v>
      </c>
      <c r="F18" s="281" t="s">
        <v>787</v>
      </c>
      <c r="G18" s="282"/>
      <c r="H18" s="282"/>
      <c r="I18" s="281"/>
      <c r="J18" s="281"/>
      <c r="K18" s="281"/>
      <c r="L18" s="281"/>
      <c r="M18" s="281"/>
      <c r="N18" s="281"/>
      <c r="O18" s="281"/>
      <c r="P18" s="283"/>
      <c r="Q18" s="26" t="s">
        <v>788</v>
      </c>
      <c r="R18" s="281"/>
      <c r="S18" s="281"/>
      <c r="T18" s="281"/>
    </row>
    <row r="19" spans="1:20" ht="79.5" customHeight="1">
      <c r="A19" s="426"/>
      <c r="B19" s="422"/>
      <c r="C19" s="426"/>
      <c r="D19" s="89" t="s">
        <v>190</v>
      </c>
      <c r="E19" s="89" t="s">
        <v>789</v>
      </c>
      <c r="F19" s="281" t="s">
        <v>790</v>
      </c>
      <c r="G19" s="282"/>
      <c r="H19" s="282"/>
      <c r="I19" s="281"/>
      <c r="J19" s="281"/>
      <c r="K19" s="281"/>
      <c r="L19" s="281"/>
      <c r="M19" s="281"/>
      <c r="N19" s="281"/>
      <c r="O19" s="281"/>
      <c r="P19" s="283"/>
      <c r="Q19" s="26" t="s">
        <v>791</v>
      </c>
      <c r="R19" s="281"/>
      <c r="S19" s="281"/>
      <c r="T19" s="281"/>
    </row>
    <row r="20" spans="1:20" ht="225">
      <c r="A20" s="89" t="s">
        <v>192</v>
      </c>
      <c r="B20" s="89" t="s">
        <v>193</v>
      </c>
      <c r="C20" s="89" t="s">
        <v>194</v>
      </c>
      <c r="D20" s="89" t="s">
        <v>875</v>
      </c>
      <c r="E20" s="89" t="s">
        <v>792</v>
      </c>
      <c r="F20" s="281" t="s">
        <v>793</v>
      </c>
      <c r="G20" s="282"/>
      <c r="H20" s="282"/>
      <c r="I20" s="281"/>
      <c r="J20" s="281"/>
      <c r="K20" s="281"/>
      <c r="L20" s="281"/>
      <c r="M20" s="281"/>
      <c r="N20" s="281"/>
      <c r="O20" s="281"/>
      <c r="P20" s="283"/>
      <c r="Q20" s="26" t="s">
        <v>774</v>
      </c>
      <c r="R20" s="281"/>
      <c r="S20" s="281"/>
      <c r="T20" s="281"/>
    </row>
    <row r="21" spans="1:20" ht="181.5">
      <c r="A21" s="89" t="s">
        <v>877</v>
      </c>
      <c r="B21" s="103" t="s">
        <v>878</v>
      </c>
      <c r="C21" s="103" t="s">
        <v>879</v>
      </c>
      <c r="D21" s="89" t="s">
        <v>567</v>
      </c>
      <c r="E21" s="89" t="s">
        <v>794</v>
      </c>
      <c r="F21" s="281" t="s">
        <v>795</v>
      </c>
      <c r="G21" s="282"/>
      <c r="H21" s="282"/>
      <c r="I21" s="281"/>
      <c r="J21" s="281"/>
      <c r="K21" s="281"/>
      <c r="L21" s="281"/>
      <c r="M21" s="281"/>
      <c r="N21" s="281"/>
      <c r="O21" s="281"/>
      <c r="P21" s="283"/>
      <c r="Q21" s="26" t="s">
        <v>796</v>
      </c>
      <c r="R21" s="281"/>
      <c r="S21" s="281"/>
      <c r="T21" s="281"/>
    </row>
    <row r="22" spans="1:20" ht="166.5" customHeight="1">
      <c r="A22" s="89" t="s">
        <v>569</v>
      </c>
      <c r="B22" s="89" t="s">
        <v>570</v>
      </c>
      <c r="C22" s="89" t="s">
        <v>797</v>
      </c>
      <c r="D22" s="89" t="s">
        <v>401</v>
      </c>
      <c r="E22" s="89" t="s">
        <v>798</v>
      </c>
      <c r="F22" s="281" t="s">
        <v>799</v>
      </c>
      <c r="G22" s="282"/>
      <c r="H22" s="282"/>
      <c r="I22" s="281"/>
      <c r="J22" s="281"/>
      <c r="K22" s="281"/>
      <c r="L22" s="281"/>
      <c r="M22" s="281"/>
      <c r="N22" s="281"/>
      <c r="O22" s="281"/>
      <c r="P22" s="283"/>
      <c r="Q22" s="26" t="s">
        <v>774</v>
      </c>
      <c r="R22" s="281"/>
      <c r="S22" s="281"/>
      <c r="T22" s="281"/>
    </row>
    <row r="23" spans="1:20" ht="145.5" customHeight="1">
      <c r="A23" s="285" t="s">
        <v>402</v>
      </c>
      <c r="B23" s="285"/>
      <c r="C23" s="286" t="s">
        <v>403</v>
      </c>
      <c r="D23" s="286" t="s">
        <v>403</v>
      </c>
      <c r="E23" s="89" t="s">
        <v>800</v>
      </c>
      <c r="F23" s="281" t="s">
        <v>801</v>
      </c>
      <c r="G23" s="282"/>
      <c r="H23" s="282"/>
      <c r="I23" s="281"/>
      <c r="J23" s="281"/>
      <c r="K23" s="281"/>
      <c r="L23" s="281"/>
      <c r="M23" s="281"/>
      <c r="N23" s="281"/>
      <c r="O23" s="281"/>
      <c r="P23" s="283"/>
      <c r="Q23" s="26" t="s">
        <v>802</v>
      </c>
      <c r="R23" s="281"/>
      <c r="S23" s="281"/>
      <c r="T23" s="281"/>
    </row>
    <row r="24" spans="1:20" ht="18.75">
      <c r="A24" s="287" t="s">
        <v>405</v>
      </c>
      <c r="B24" s="288"/>
      <c r="C24" s="288"/>
      <c r="D24" s="288"/>
      <c r="E24" s="288"/>
      <c r="F24" s="288"/>
      <c r="G24" s="288"/>
      <c r="H24" s="288"/>
      <c r="I24" s="288"/>
      <c r="J24" s="288"/>
      <c r="K24" s="288"/>
      <c r="L24" s="288"/>
      <c r="M24" s="288"/>
      <c r="N24" s="288"/>
      <c r="O24" s="288"/>
      <c r="P24" s="288"/>
      <c r="Q24" s="289"/>
      <c r="R24" s="289"/>
      <c r="S24" s="289"/>
      <c r="T24" s="289"/>
    </row>
    <row r="25" spans="1:20" ht="18.75">
      <c r="A25" s="275" t="s">
        <v>803</v>
      </c>
      <c r="B25" s="276"/>
      <c r="C25" s="276"/>
      <c r="D25" s="276"/>
      <c r="E25" s="276"/>
      <c r="F25" s="276"/>
      <c r="G25" s="276"/>
      <c r="H25" s="277"/>
      <c r="I25" s="276"/>
      <c r="J25" s="276"/>
      <c r="K25" s="276"/>
      <c r="L25" s="276"/>
      <c r="M25" s="276"/>
      <c r="N25" s="276"/>
      <c r="O25" s="276"/>
      <c r="P25" s="276"/>
      <c r="Q25" s="290"/>
      <c r="R25" s="290"/>
      <c r="S25" s="290"/>
      <c r="T25" s="290"/>
    </row>
    <row r="26" spans="1:20" ht="148.5">
      <c r="A26" s="291" t="s">
        <v>877</v>
      </c>
      <c r="B26" s="292" t="s">
        <v>692</v>
      </c>
      <c r="C26" s="291" t="s">
        <v>804</v>
      </c>
      <c r="D26" s="292" t="s">
        <v>694</v>
      </c>
      <c r="E26" s="291" t="s">
        <v>495</v>
      </c>
      <c r="F26" s="281" t="s">
        <v>805</v>
      </c>
      <c r="G26" s="282"/>
      <c r="H26" s="282"/>
      <c r="I26" s="281"/>
      <c r="J26" s="281"/>
      <c r="K26" s="281"/>
      <c r="L26" s="281"/>
      <c r="M26" s="281"/>
      <c r="N26" s="281"/>
      <c r="O26" s="281"/>
      <c r="P26" s="283"/>
      <c r="Q26" s="281"/>
      <c r="R26" s="281"/>
      <c r="S26" s="281"/>
      <c r="T26" s="281"/>
    </row>
    <row r="27" spans="1:20" ht="181.5">
      <c r="A27" s="103" t="s">
        <v>877</v>
      </c>
      <c r="B27" s="84" t="s">
        <v>692</v>
      </c>
      <c r="C27" s="103" t="s">
        <v>579</v>
      </c>
      <c r="D27" s="84" t="s">
        <v>694</v>
      </c>
      <c r="E27" s="103" t="s">
        <v>806</v>
      </c>
      <c r="F27" s="281" t="s">
        <v>807</v>
      </c>
      <c r="G27" s="282"/>
      <c r="H27" s="282"/>
      <c r="I27" s="281"/>
      <c r="J27" s="281"/>
      <c r="K27" s="281"/>
      <c r="L27" s="281"/>
      <c r="M27" s="281"/>
      <c r="N27" s="281"/>
      <c r="O27" s="281"/>
      <c r="P27" s="283"/>
      <c r="Q27" s="281"/>
      <c r="R27" s="281"/>
      <c r="S27" s="281"/>
      <c r="T27" s="281"/>
    </row>
    <row r="28" spans="1:20" ht="148.5">
      <c r="A28" s="103" t="s">
        <v>877</v>
      </c>
      <c r="B28" s="84" t="s">
        <v>692</v>
      </c>
      <c r="C28" s="103" t="s">
        <v>699</v>
      </c>
      <c r="D28" s="84" t="s">
        <v>694</v>
      </c>
      <c r="E28" s="281" t="s">
        <v>700</v>
      </c>
      <c r="F28" s="281" t="s">
        <v>808</v>
      </c>
      <c r="G28" s="282"/>
      <c r="H28" s="282"/>
      <c r="I28" s="281"/>
      <c r="J28" s="281"/>
      <c r="K28" s="281"/>
      <c r="L28" s="281"/>
      <c r="M28" s="281"/>
      <c r="N28" s="281"/>
      <c r="O28" s="281"/>
      <c r="P28" s="283"/>
      <c r="Q28" s="281"/>
      <c r="R28" s="281"/>
      <c r="S28" s="281"/>
      <c r="T28" s="281"/>
    </row>
    <row r="29" spans="1:20" ht="75">
      <c r="A29" s="89" t="s">
        <v>877</v>
      </c>
      <c r="B29" s="89" t="s">
        <v>673</v>
      </c>
      <c r="C29" s="89" t="s">
        <v>674</v>
      </c>
      <c r="D29" s="109" t="s">
        <v>673</v>
      </c>
      <c r="E29" s="281" t="s">
        <v>809</v>
      </c>
      <c r="F29" s="281" t="s">
        <v>810</v>
      </c>
      <c r="G29" s="282"/>
      <c r="H29" s="282"/>
      <c r="I29" s="281"/>
      <c r="J29" s="281"/>
      <c r="K29" s="281"/>
      <c r="L29" s="281"/>
      <c r="M29" s="281"/>
      <c r="N29" s="281"/>
      <c r="O29" s="281"/>
      <c r="P29" s="283"/>
      <c r="Q29" s="281"/>
      <c r="R29" s="281"/>
      <c r="S29" s="281"/>
      <c r="T29" s="281"/>
    </row>
    <row r="30" spans="1:20" ht="90">
      <c r="A30" s="89" t="s">
        <v>877</v>
      </c>
      <c r="B30" s="89" t="s">
        <v>673</v>
      </c>
      <c r="C30" s="89" t="s">
        <v>676</v>
      </c>
      <c r="D30" s="109" t="s">
        <v>673</v>
      </c>
      <c r="E30" s="281" t="s">
        <v>811</v>
      </c>
      <c r="F30" s="281" t="s">
        <v>812</v>
      </c>
      <c r="G30" s="282"/>
      <c r="H30" s="282"/>
      <c r="I30" s="281"/>
      <c r="J30" s="281"/>
      <c r="K30" s="281"/>
      <c r="L30" s="281"/>
      <c r="M30" s="281"/>
      <c r="N30" s="281"/>
      <c r="O30" s="281"/>
      <c r="P30" s="283"/>
      <c r="Q30" s="281"/>
      <c r="R30" s="281"/>
      <c r="S30" s="281"/>
      <c r="T30" s="281"/>
    </row>
    <row r="31" spans="1:20" ht="148.5">
      <c r="A31" s="89" t="s">
        <v>877</v>
      </c>
      <c r="B31" s="89" t="s">
        <v>673</v>
      </c>
      <c r="C31" s="89" t="s">
        <v>677</v>
      </c>
      <c r="D31" s="109" t="s">
        <v>673</v>
      </c>
      <c r="E31" s="281" t="s">
        <v>1064</v>
      </c>
      <c r="F31" s="281" t="s">
        <v>229</v>
      </c>
      <c r="G31" s="282"/>
      <c r="H31" s="282"/>
      <c r="I31" s="281"/>
      <c r="J31" s="281"/>
      <c r="K31" s="281"/>
      <c r="L31" s="281"/>
      <c r="M31" s="281"/>
      <c r="N31" s="281"/>
      <c r="O31" s="281"/>
      <c r="P31" s="283"/>
      <c r="Q31" s="281"/>
      <c r="R31" s="281"/>
      <c r="S31" s="281"/>
      <c r="T31" s="281"/>
    </row>
    <row r="32" spans="1:20" ht="120">
      <c r="A32" s="89" t="s">
        <v>877</v>
      </c>
      <c r="B32" s="89" t="s">
        <v>673</v>
      </c>
      <c r="C32" s="89" t="s">
        <v>678</v>
      </c>
      <c r="D32" s="109" t="s">
        <v>673</v>
      </c>
      <c r="E32" s="281" t="s">
        <v>230</v>
      </c>
      <c r="F32" s="281" t="s">
        <v>231</v>
      </c>
      <c r="G32" s="282"/>
      <c r="H32" s="282"/>
      <c r="I32" s="281"/>
      <c r="J32" s="281"/>
      <c r="K32" s="281"/>
      <c r="L32" s="281"/>
      <c r="M32" s="281"/>
      <c r="N32" s="281"/>
      <c r="O32" s="281"/>
      <c r="P32" s="283"/>
      <c r="Q32" s="281"/>
      <c r="R32" s="281"/>
      <c r="S32" s="281"/>
      <c r="T32" s="281"/>
    </row>
    <row r="33" spans="1:20" ht="148.5">
      <c r="A33" s="89" t="s">
        <v>877</v>
      </c>
      <c r="B33" s="89" t="s">
        <v>673</v>
      </c>
      <c r="C33" s="89" t="s">
        <v>232</v>
      </c>
      <c r="D33" s="109" t="s">
        <v>673</v>
      </c>
      <c r="E33" s="281" t="s">
        <v>233</v>
      </c>
      <c r="F33" s="281" t="s">
        <v>234</v>
      </c>
      <c r="G33" s="282"/>
      <c r="H33" s="282"/>
      <c r="I33" s="281"/>
      <c r="J33" s="281"/>
      <c r="K33" s="281"/>
      <c r="L33" s="281"/>
      <c r="M33" s="281"/>
      <c r="N33" s="281"/>
      <c r="O33" s="281"/>
      <c r="P33" s="283"/>
      <c r="Q33" s="281"/>
      <c r="R33" s="281"/>
      <c r="S33" s="281"/>
      <c r="T33" s="281"/>
    </row>
    <row r="34" spans="1:20" ht="49.5">
      <c r="A34" s="89" t="s">
        <v>877</v>
      </c>
      <c r="B34" s="89" t="s">
        <v>673</v>
      </c>
      <c r="C34" s="89" t="s">
        <v>235</v>
      </c>
      <c r="D34" s="109" t="s">
        <v>673</v>
      </c>
      <c r="E34" s="428" t="s">
        <v>236</v>
      </c>
      <c r="F34" s="428" t="s">
        <v>237</v>
      </c>
      <c r="G34" s="282"/>
      <c r="H34" s="282"/>
      <c r="I34" s="293"/>
      <c r="J34" s="293"/>
      <c r="K34" s="293"/>
      <c r="L34" s="293"/>
      <c r="M34" s="293"/>
      <c r="N34" s="293"/>
      <c r="O34" s="293"/>
      <c r="P34" s="294"/>
      <c r="Q34" s="281"/>
      <c r="R34" s="281"/>
      <c r="S34" s="281"/>
      <c r="T34" s="281"/>
    </row>
    <row r="35" spans="1:20" ht="49.5">
      <c r="A35" s="89" t="s">
        <v>877</v>
      </c>
      <c r="B35" s="89" t="s">
        <v>673</v>
      </c>
      <c r="C35" s="89" t="s">
        <v>238</v>
      </c>
      <c r="D35" s="109" t="s">
        <v>673</v>
      </c>
      <c r="E35" s="429"/>
      <c r="F35" s="429"/>
      <c r="G35" s="282"/>
      <c r="H35" s="282"/>
      <c r="I35" s="295"/>
      <c r="J35" s="295"/>
      <c r="K35" s="295"/>
      <c r="L35" s="295"/>
      <c r="M35" s="295"/>
      <c r="N35" s="295"/>
      <c r="O35" s="295"/>
      <c r="P35" s="296"/>
      <c r="Q35" s="281"/>
      <c r="R35" s="281"/>
      <c r="S35" s="281"/>
      <c r="T35" s="281"/>
    </row>
    <row r="36" spans="1:20" ht="99">
      <c r="A36" s="89" t="s">
        <v>877</v>
      </c>
      <c r="B36" s="89" t="s">
        <v>673</v>
      </c>
      <c r="C36" s="89" t="s">
        <v>684</v>
      </c>
      <c r="D36" s="109" t="s">
        <v>673</v>
      </c>
      <c r="E36" s="281" t="s">
        <v>239</v>
      </c>
      <c r="F36" s="281" t="s">
        <v>240</v>
      </c>
      <c r="G36" s="282"/>
      <c r="H36" s="282"/>
      <c r="I36" s="281"/>
      <c r="J36" s="281"/>
      <c r="K36" s="281"/>
      <c r="L36" s="281"/>
      <c r="M36" s="281"/>
      <c r="N36" s="281"/>
      <c r="O36" s="281"/>
      <c r="P36" s="283"/>
      <c r="Q36" s="281"/>
      <c r="R36" s="281"/>
      <c r="S36" s="281"/>
      <c r="T36" s="281"/>
    </row>
    <row r="37" spans="1:20" ht="115.5">
      <c r="A37" s="89" t="s">
        <v>877</v>
      </c>
      <c r="B37" s="89" t="s">
        <v>673</v>
      </c>
      <c r="C37" s="89" t="s">
        <v>920</v>
      </c>
      <c r="D37" s="109" t="s">
        <v>673</v>
      </c>
      <c r="E37" s="281" t="s">
        <v>501</v>
      </c>
      <c r="F37" s="281" t="s">
        <v>241</v>
      </c>
      <c r="G37" s="282"/>
      <c r="H37" s="282"/>
      <c r="I37" s="281"/>
      <c r="J37" s="281"/>
      <c r="K37" s="281"/>
      <c r="L37" s="281"/>
      <c r="M37" s="281"/>
      <c r="N37" s="281"/>
      <c r="O37" s="281"/>
      <c r="P37" s="283"/>
      <c r="Q37" s="281"/>
      <c r="R37" s="281"/>
      <c r="S37" s="281"/>
      <c r="T37" s="281"/>
    </row>
    <row r="38" spans="1:20" ht="66">
      <c r="A38" s="89" t="s">
        <v>877</v>
      </c>
      <c r="B38" s="89" t="s">
        <v>673</v>
      </c>
      <c r="C38" s="89" t="s">
        <v>921</v>
      </c>
      <c r="D38" s="109" t="s">
        <v>673</v>
      </c>
      <c r="E38" s="281" t="s">
        <v>502</v>
      </c>
      <c r="F38" s="281" t="s">
        <v>242</v>
      </c>
      <c r="G38" s="282"/>
      <c r="H38" s="282"/>
      <c r="I38" s="281"/>
      <c r="J38" s="281"/>
      <c r="K38" s="281"/>
      <c r="L38" s="281"/>
      <c r="M38" s="281"/>
      <c r="N38" s="281"/>
      <c r="O38" s="281"/>
      <c r="P38" s="283"/>
      <c r="Q38" s="281"/>
      <c r="R38" s="281"/>
      <c r="S38" s="281"/>
      <c r="T38" s="281"/>
    </row>
    <row r="39" spans="1:20" ht="75">
      <c r="A39" s="89" t="s">
        <v>877</v>
      </c>
      <c r="B39" s="89" t="s">
        <v>673</v>
      </c>
      <c r="C39" s="89" t="s">
        <v>196</v>
      </c>
      <c r="D39" s="109" t="s">
        <v>673</v>
      </c>
      <c r="E39" s="281" t="s">
        <v>197</v>
      </c>
      <c r="F39" s="281" t="s">
        <v>243</v>
      </c>
      <c r="G39" s="282"/>
      <c r="H39" s="282"/>
      <c r="I39" s="281"/>
      <c r="J39" s="281"/>
      <c r="K39" s="281"/>
      <c r="L39" s="281"/>
      <c r="M39" s="281"/>
      <c r="N39" s="281"/>
      <c r="O39" s="281"/>
      <c r="P39" s="283"/>
      <c r="Q39" s="281"/>
      <c r="R39" s="281"/>
      <c r="S39" s="281"/>
      <c r="T39" s="281"/>
    </row>
    <row r="40" spans="1:20" ht="99">
      <c r="A40" s="103" t="s">
        <v>472</v>
      </c>
      <c r="B40" s="103" t="s">
        <v>473</v>
      </c>
      <c r="C40" s="103" t="s">
        <v>474</v>
      </c>
      <c r="D40" s="103" t="s">
        <v>473</v>
      </c>
      <c r="E40" s="281" t="s">
        <v>244</v>
      </c>
      <c r="F40" s="281" t="s">
        <v>245</v>
      </c>
      <c r="G40" s="282"/>
      <c r="H40" s="282"/>
      <c r="I40" s="281"/>
      <c r="J40" s="281"/>
      <c r="K40" s="281"/>
      <c r="L40" s="281"/>
      <c r="M40" s="281"/>
      <c r="N40" s="281"/>
      <c r="O40" s="281"/>
      <c r="P40" s="283"/>
      <c r="Q40" s="281"/>
      <c r="R40" s="281"/>
      <c r="S40" s="281"/>
      <c r="T40" s="281"/>
    </row>
    <row r="41" spans="1:20" ht="105">
      <c r="A41" s="89" t="s">
        <v>133</v>
      </c>
      <c r="B41" s="89" t="s">
        <v>476</v>
      </c>
      <c r="C41" s="109" t="s">
        <v>477</v>
      </c>
      <c r="D41" s="109" t="s">
        <v>478</v>
      </c>
      <c r="E41" s="281" t="s">
        <v>246</v>
      </c>
      <c r="F41" s="281" t="s">
        <v>247</v>
      </c>
      <c r="G41" s="282"/>
      <c r="H41" s="282"/>
      <c r="I41" s="281"/>
      <c r="J41" s="281"/>
      <c r="K41" s="281"/>
      <c r="L41" s="281"/>
      <c r="M41" s="281"/>
      <c r="N41" s="281"/>
      <c r="O41" s="281"/>
      <c r="P41" s="283"/>
      <c r="Q41" s="281"/>
      <c r="R41" s="281"/>
      <c r="S41" s="281"/>
      <c r="T41" s="281"/>
    </row>
    <row r="42" spans="1:20" ht="150">
      <c r="A42" s="297" t="s">
        <v>133</v>
      </c>
      <c r="B42" s="297" t="s">
        <v>476</v>
      </c>
      <c r="C42" s="109" t="s">
        <v>477</v>
      </c>
      <c r="D42" s="109" t="s">
        <v>478</v>
      </c>
      <c r="E42" s="281" t="s">
        <v>248</v>
      </c>
      <c r="F42" s="281" t="s">
        <v>249</v>
      </c>
      <c r="G42" s="282"/>
      <c r="H42" s="282"/>
      <c r="I42" s="281"/>
      <c r="J42" s="281"/>
      <c r="K42" s="281"/>
      <c r="L42" s="281"/>
      <c r="M42" s="281"/>
      <c r="N42" s="281"/>
      <c r="O42" s="281"/>
      <c r="P42" s="283"/>
      <c r="Q42" s="281"/>
      <c r="R42" s="281"/>
      <c r="S42" s="281"/>
      <c r="T42" s="281"/>
    </row>
    <row r="43" spans="1:20" ht="105">
      <c r="A43" s="297" t="s">
        <v>133</v>
      </c>
      <c r="B43" s="297" t="s">
        <v>476</v>
      </c>
      <c r="C43" s="109" t="s">
        <v>477</v>
      </c>
      <c r="D43" s="109" t="s">
        <v>478</v>
      </c>
      <c r="E43" s="281" t="s">
        <v>505</v>
      </c>
      <c r="F43" s="281" t="s">
        <v>856</v>
      </c>
      <c r="G43" s="282"/>
      <c r="H43" s="282"/>
      <c r="I43" s="281"/>
      <c r="J43" s="281"/>
      <c r="K43" s="281"/>
      <c r="L43" s="281"/>
      <c r="M43" s="281"/>
      <c r="N43" s="281"/>
      <c r="O43" s="281"/>
      <c r="P43" s="283"/>
      <c r="Q43" s="281"/>
      <c r="R43" s="281"/>
      <c r="S43" s="281"/>
      <c r="T43" s="281"/>
    </row>
    <row r="44" spans="1:20" ht="82.5">
      <c r="A44" s="103" t="s">
        <v>877</v>
      </c>
      <c r="B44" s="84" t="s">
        <v>692</v>
      </c>
      <c r="C44" s="103" t="s">
        <v>826</v>
      </c>
      <c r="D44" s="84" t="s">
        <v>694</v>
      </c>
      <c r="E44" s="281" t="s">
        <v>857</v>
      </c>
      <c r="F44" s="281" t="s">
        <v>858</v>
      </c>
      <c r="G44" s="282"/>
      <c r="H44" s="282"/>
      <c r="I44" s="281"/>
      <c r="J44" s="281"/>
      <c r="K44" s="281"/>
      <c r="L44" s="281"/>
      <c r="M44" s="281"/>
      <c r="N44" s="281"/>
      <c r="O44" s="281"/>
      <c r="P44" s="283"/>
      <c r="Q44" s="281"/>
      <c r="R44" s="281"/>
      <c r="S44" s="281"/>
      <c r="T44" s="281"/>
    </row>
    <row r="45" spans="1:20" ht="99">
      <c r="A45" s="103" t="s">
        <v>877</v>
      </c>
      <c r="B45" s="84" t="s">
        <v>692</v>
      </c>
      <c r="C45" s="103" t="s">
        <v>828</v>
      </c>
      <c r="D45" s="84" t="s">
        <v>694</v>
      </c>
      <c r="E45" s="281" t="s">
        <v>859</v>
      </c>
      <c r="F45" s="281" t="s">
        <v>860</v>
      </c>
      <c r="G45" s="282"/>
      <c r="H45" s="282"/>
      <c r="I45" s="281"/>
      <c r="J45" s="281"/>
      <c r="K45" s="281"/>
      <c r="L45" s="281"/>
      <c r="M45" s="281"/>
      <c r="N45" s="281"/>
      <c r="O45" s="281"/>
      <c r="P45" s="283"/>
      <c r="Q45" s="281"/>
      <c r="R45" s="281"/>
      <c r="S45" s="281"/>
      <c r="T45" s="281"/>
    </row>
    <row r="46" spans="1:20" ht="49.5">
      <c r="A46" s="89" t="s">
        <v>877</v>
      </c>
      <c r="B46" s="89" t="s">
        <v>673</v>
      </c>
      <c r="C46" s="89" t="s">
        <v>829</v>
      </c>
      <c r="D46" s="109" t="s">
        <v>673</v>
      </c>
      <c r="E46" s="281" t="s">
        <v>964</v>
      </c>
      <c r="F46" s="281" t="s">
        <v>861</v>
      </c>
      <c r="G46" s="282"/>
      <c r="H46" s="282"/>
      <c r="I46" s="281"/>
      <c r="J46" s="281"/>
      <c r="K46" s="281"/>
      <c r="L46" s="281"/>
      <c r="M46" s="281"/>
      <c r="N46" s="281"/>
      <c r="O46" s="281"/>
      <c r="P46" s="283"/>
      <c r="Q46" s="281"/>
      <c r="R46" s="281"/>
      <c r="S46" s="281"/>
      <c r="T46" s="281"/>
    </row>
    <row r="47" spans="1:20" ht="49.5">
      <c r="A47" s="89" t="s">
        <v>877</v>
      </c>
      <c r="B47" s="89" t="s">
        <v>673</v>
      </c>
      <c r="C47" s="89" t="s">
        <v>198</v>
      </c>
      <c r="D47" s="109" t="s">
        <v>673</v>
      </c>
      <c r="E47" s="282"/>
      <c r="F47" s="282"/>
      <c r="G47" s="282"/>
      <c r="H47" s="282"/>
      <c r="I47" s="282"/>
      <c r="J47" s="282"/>
      <c r="K47" s="282"/>
      <c r="L47" s="282"/>
      <c r="M47" s="282"/>
      <c r="N47" s="282"/>
      <c r="O47" s="282"/>
      <c r="P47" s="298"/>
      <c r="Q47" s="282"/>
      <c r="R47" s="282"/>
      <c r="S47" s="282"/>
      <c r="T47" s="282"/>
    </row>
    <row r="48" spans="1:20" ht="49.5">
      <c r="A48" s="89" t="s">
        <v>877</v>
      </c>
      <c r="B48" s="89" t="s">
        <v>673</v>
      </c>
      <c r="C48" s="89" t="s">
        <v>674</v>
      </c>
      <c r="D48" s="109" t="s">
        <v>673</v>
      </c>
      <c r="E48" s="282"/>
      <c r="F48" s="282"/>
      <c r="G48" s="282"/>
      <c r="H48" s="282"/>
      <c r="I48" s="282"/>
      <c r="J48" s="282"/>
      <c r="K48" s="282"/>
      <c r="L48" s="282"/>
      <c r="M48" s="282"/>
      <c r="N48" s="282"/>
      <c r="O48" s="282"/>
      <c r="P48" s="298"/>
      <c r="Q48" s="282"/>
      <c r="R48" s="282"/>
      <c r="S48" s="282"/>
      <c r="T48" s="282"/>
    </row>
    <row r="49" spans="1:20" ht="66">
      <c r="A49" s="89" t="s">
        <v>877</v>
      </c>
      <c r="B49" s="89" t="s">
        <v>204</v>
      </c>
      <c r="C49" s="89" t="s">
        <v>205</v>
      </c>
      <c r="D49" s="109" t="s">
        <v>204</v>
      </c>
      <c r="E49" s="281" t="s">
        <v>862</v>
      </c>
      <c r="F49" s="281" t="s">
        <v>863</v>
      </c>
      <c r="G49" s="282"/>
      <c r="H49" s="282"/>
      <c r="I49" s="281"/>
      <c r="J49" s="281"/>
      <c r="K49" s="281"/>
      <c r="L49" s="281"/>
      <c r="M49" s="281"/>
      <c r="N49" s="281"/>
      <c r="O49" s="281"/>
      <c r="P49" s="283"/>
      <c r="Q49" s="281"/>
      <c r="R49" s="281"/>
      <c r="S49" s="281"/>
      <c r="T49" s="281"/>
    </row>
    <row r="50" spans="1:20" ht="99">
      <c r="A50" s="89" t="s">
        <v>877</v>
      </c>
      <c r="B50" s="89" t="s">
        <v>204</v>
      </c>
      <c r="C50" s="89" t="s">
        <v>206</v>
      </c>
      <c r="D50" s="109" t="s">
        <v>204</v>
      </c>
      <c r="E50" s="281" t="s">
        <v>864</v>
      </c>
      <c r="F50" s="281" t="s">
        <v>865</v>
      </c>
      <c r="G50" s="282"/>
      <c r="H50" s="282"/>
      <c r="I50" s="281"/>
      <c r="J50" s="281"/>
      <c r="K50" s="281"/>
      <c r="L50" s="281"/>
      <c r="M50" s="281"/>
      <c r="N50" s="281"/>
      <c r="O50" s="281"/>
      <c r="P50" s="283"/>
      <c r="Q50" s="281"/>
      <c r="R50" s="281"/>
      <c r="S50" s="281"/>
      <c r="T50" s="281"/>
    </row>
    <row r="51" spans="1:20" ht="66">
      <c r="A51" s="89" t="s">
        <v>877</v>
      </c>
      <c r="B51" s="89" t="s">
        <v>204</v>
      </c>
      <c r="C51" s="89" t="s">
        <v>207</v>
      </c>
      <c r="D51" s="109" t="s">
        <v>204</v>
      </c>
      <c r="E51" s="281" t="s">
        <v>866</v>
      </c>
      <c r="F51" s="281" t="s">
        <v>867</v>
      </c>
      <c r="G51" s="282"/>
      <c r="H51" s="282"/>
      <c r="I51" s="281"/>
      <c r="J51" s="281"/>
      <c r="K51" s="281"/>
      <c r="L51" s="281"/>
      <c r="M51" s="281"/>
      <c r="N51" s="281"/>
      <c r="O51" s="281"/>
      <c r="P51" s="283"/>
      <c r="Q51" s="281"/>
      <c r="R51" s="281"/>
      <c r="S51" s="281"/>
      <c r="T51" s="281"/>
    </row>
    <row r="52" spans="1:20" ht="66">
      <c r="A52" s="89" t="s">
        <v>877</v>
      </c>
      <c r="B52" s="89" t="s">
        <v>204</v>
      </c>
      <c r="C52" s="89" t="s">
        <v>208</v>
      </c>
      <c r="D52" s="109" t="s">
        <v>204</v>
      </c>
      <c r="E52" s="281" t="s">
        <v>868</v>
      </c>
      <c r="F52" s="281" t="s">
        <v>869</v>
      </c>
      <c r="G52" s="282"/>
      <c r="H52" s="282"/>
      <c r="I52" s="281"/>
      <c r="J52" s="281"/>
      <c r="K52" s="281"/>
      <c r="L52" s="281"/>
      <c r="M52" s="281"/>
      <c r="N52" s="281"/>
      <c r="O52" s="281"/>
      <c r="P52" s="283"/>
      <c r="Q52" s="281"/>
      <c r="R52" s="281"/>
      <c r="S52" s="281"/>
      <c r="T52" s="281"/>
    </row>
    <row r="53" spans="1:20" ht="16.5">
      <c r="A53" s="278" t="s">
        <v>870</v>
      </c>
      <c r="B53" s="276"/>
      <c r="C53" s="276"/>
      <c r="D53" s="276"/>
      <c r="E53" s="276"/>
      <c r="F53" s="276"/>
      <c r="G53" s="276"/>
      <c r="H53" s="277"/>
      <c r="I53" s="276"/>
      <c r="J53" s="276"/>
      <c r="K53" s="276"/>
      <c r="L53" s="276"/>
      <c r="M53" s="276"/>
      <c r="N53" s="276"/>
      <c r="O53" s="276"/>
      <c r="P53" s="276"/>
      <c r="Q53" s="290"/>
      <c r="R53" s="290"/>
      <c r="S53" s="290"/>
      <c r="T53" s="290"/>
    </row>
    <row r="54" spans="1:20" ht="82.5">
      <c r="A54" s="420" t="s">
        <v>133</v>
      </c>
      <c r="B54" s="420" t="s">
        <v>476</v>
      </c>
      <c r="C54" s="420" t="s">
        <v>211</v>
      </c>
      <c r="D54" s="280" t="s">
        <v>619</v>
      </c>
      <c r="E54" s="281" t="s">
        <v>871</v>
      </c>
      <c r="F54" s="281" t="s">
        <v>872</v>
      </c>
      <c r="G54" s="282"/>
      <c r="H54" s="282"/>
      <c r="I54" s="281"/>
      <c r="J54" s="281"/>
      <c r="K54" s="281"/>
      <c r="L54" s="281"/>
      <c r="M54" s="281"/>
      <c r="N54" s="281"/>
      <c r="O54" s="281"/>
      <c r="P54" s="283"/>
      <c r="Q54" s="281"/>
      <c r="R54" s="281"/>
      <c r="S54" s="281"/>
      <c r="T54" s="281"/>
    </row>
    <row r="55" spans="1:20" ht="45">
      <c r="A55" s="418"/>
      <c r="B55" s="418"/>
      <c r="C55" s="418"/>
      <c r="D55" s="89" t="s">
        <v>584</v>
      </c>
      <c r="E55" s="281" t="s">
        <v>873</v>
      </c>
      <c r="F55" s="281" t="s">
        <v>330</v>
      </c>
      <c r="G55" s="282"/>
      <c r="H55" s="282"/>
      <c r="I55" s="281"/>
      <c r="J55" s="281"/>
      <c r="K55" s="281"/>
      <c r="L55" s="281"/>
      <c r="M55" s="281"/>
      <c r="N55" s="281"/>
      <c r="O55" s="281"/>
      <c r="P55" s="283"/>
      <c r="Q55" s="281"/>
      <c r="R55" s="281"/>
      <c r="S55" s="281"/>
      <c r="T55" s="281"/>
    </row>
    <row r="56" spans="1:20" ht="181.5">
      <c r="A56" s="418" t="s">
        <v>877</v>
      </c>
      <c r="B56" s="89" t="s">
        <v>585</v>
      </c>
      <c r="C56" s="89" t="s">
        <v>331</v>
      </c>
      <c r="D56" s="89" t="s">
        <v>855</v>
      </c>
      <c r="E56" s="281" t="s">
        <v>332</v>
      </c>
      <c r="F56" s="281" t="s">
        <v>333</v>
      </c>
      <c r="G56" s="282"/>
      <c r="H56" s="282"/>
      <c r="I56" s="281"/>
      <c r="J56" s="281"/>
      <c r="K56" s="281"/>
      <c r="L56" s="281"/>
      <c r="M56" s="281"/>
      <c r="N56" s="281"/>
      <c r="O56" s="281"/>
      <c r="P56" s="283"/>
      <c r="Q56" s="281"/>
      <c r="R56" s="281"/>
      <c r="S56" s="281"/>
      <c r="T56" s="281"/>
    </row>
    <row r="57" spans="1:20" ht="379.5">
      <c r="A57" s="418"/>
      <c r="B57" s="89" t="s">
        <v>435</v>
      </c>
      <c r="C57" s="89" t="s">
        <v>334</v>
      </c>
      <c r="D57" s="89" t="s">
        <v>437</v>
      </c>
      <c r="E57" s="281" t="s">
        <v>841</v>
      </c>
      <c r="F57" s="281" t="s">
        <v>842</v>
      </c>
      <c r="G57" s="282"/>
      <c r="H57" s="282"/>
      <c r="I57" s="281"/>
      <c r="J57" s="281"/>
      <c r="K57" s="281"/>
      <c r="L57" s="281"/>
      <c r="M57" s="281"/>
      <c r="N57" s="281"/>
      <c r="O57" s="281"/>
      <c r="P57" s="283"/>
      <c r="Q57" s="281"/>
      <c r="R57" s="281"/>
      <c r="S57" s="281"/>
      <c r="T57" s="281"/>
    </row>
    <row r="58" spans="1:20" ht="18.75">
      <c r="A58" s="287" t="s">
        <v>490</v>
      </c>
      <c r="B58" s="270"/>
      <c r="C58" s="270"/>
      <c r="D58" s="270"/>
      <c r="E58" s="270"/>
      <c r="F58" s="270"/>
      <c r="G58" s="270"/>
      <c r="H58" s="270"/>
      <c r="I58" s="270"/>
      <c r="J58" s="270"/>
      <c r="K58" s="270"/>
      <c r="L58" s="270"/>
      <c r="M58" s="270"/>
      <c r="N58" s="270"/>
      <c r="O58" s="270"/>
      <c r="P58" s="270"/>
      <c r="Q58" s="289"/>
      <c r="R58" s="289"/>
      <c r="S58" s="289"/>
      <c r="T58" s="289"/>
    </row>
    <row r="59" spans="1:20" ht="16.5">
      <c r="A59" s="278" t="s">
        <v>820</v>
      </c>
      <c r="B59" s="276"/>
      <c r="C59" s="276"/>
      <c r="D59" s="276"/>
      <c r="E59" s="276"/>
      <c r="F59" s="276"/>
      <c r="G59" s="276"/>
      <c r="H59" s="277"/>
      <c r="I59" s="276"/>
      <c r="J59" s="276"/>
      <c r="K59" s="276"/>
      <c r="L59" s="276"/>
      <c r="M59" s="276"/>
      <c r="N59" s="276"/>
      <c r="O59" s="276"/>
      <c r="P59" s="276"/>
      <c r="Q59" s="290"/>
      <c r="R59" s="290"/>
      <c r="S59" s="290"/>
      <c r="T59" s="290"/>
    </row>
    <row r="60" spans="1:20" ht="66">
      <c r="A60" s="280" t="s">
        <v>821</v>
      </c>
      <c r="B60" s="280" t="s">
        <v>822</v>
      </c>
      <c r="C60" s="280" t="s">
        <v>823</v>
      </c>
      <c r="D60" s="299" t="s">
        <v>138</v>
      </c>
      <c r="E60" s="280" t="s">
        <v>843</v>
      </c>
      <c r="F60" s="280"/>
      <c r="G60" s="282"/>
      <c r="H60" s="282"/>
      <c r="I60" s="280"/>
      <c r="J60" s="280"/>
      <c r="K60" s="280"/>
      <c r="L60" s="280"/>
      <c r="M60" s="280"/>
      <c r="N60" s="280"/>
      <c r="O60" s="280"/>
      <c r="P60" s="300"/>
      <c r="Q60" s="89"/>
      <c r="R60" s="89"/>
      <c r="S60" s="89"/>
      <c r="T60" s="89"/>
    </row>
    <row r="61" spans="1:20" ht="165">
      <c r="A61" s="89" t="s">
        <v>821</v>
      </c>
      <c r="B61" s="88" t="s">
        <v>140</v>
      </c>
      <c r="C61" s="89" t="s">
        <v>844</v>
      </c>
      <c r="D61" s="109" t="s">
        <v>138</v>
      </c>
      <c r="E61" s="280" t="s">
        <v>543</v>
      </c>
      <c r="F61" s="280" t="s">
        <v>845</v>
      </c>
      <c r="G61" s="282"/>
      <c r="H61" s="282"/>
      <c r="I61" s="280"/>
      <c r="J61" s="280"/>
      <c r="K61" s="280"/>
      <c r="L61" s="280"/>
      <c r="M61" s="280"/>
      <c r="N61" s="280"/>
      <c r="O61" s="280"/>
      <c r="P61" s="300"/>
      <c r="Q61" s="89"/>
      <c r="R61" s="89"/>
      <c r="S61" s="89"/>
      <c r="T61" s="89"/>
    </row>
    <row r="62" spans="1:20" ht="165">
      <c r="A62" s="89" t="s">
        <v>887</v>
      </c>
      <c r="B62" s="88" t="s">
        <v>140</v>
      </c>
      <c r="C62" s="89" t="s">
        <v>844</v>
      </c>
      <c r="D62" s="109" t="s">
        <v>888</v>
      </c>
      <c r="E62" s="280" t="s">
        <v>545</v>
      </c>
      <c r="F62" s="280" t="s">
        <v>846</v>
      </c>
      <c r="G62" s="282"/>
      <c r="H62" s="282"/>
      <c r="I62" s="280"/>
      <c r="J62" s="280"/>
      <c r="K62" s="280"/>
      <c r="L62" s="280"/>
      <c r="M62" s="280"/>
      <c r="N62" s="280"/>
      <c r="O62" s="280"/>
      <c r="P62" s="300"/>
      <c r="Q62" s="89"/>
      <c r="R62" s="89"/>
      <c r="S62" s="89"/>
      <c r="T62" s="89"/>
    </row>
    <row r="63" spans="1:20" ht="99">
      <c r="A63" s="89" t="s">
        <v>889</v>
      </c>
      <c r="B63" s="89" t="s">
        <v>890</v>
      </c>
      <c r="C63" s="89" t="s">
        <v>891</v>
      </c>
      <c r="D63" s="109" t="s">
        <v>892</v>
      </c>
      <c r="E63" s="280" t="s">
        <v>546</v>
      </c>
      <c r="F63" s="280" t="s">
        <v>288</v>
      </c>
      <c r="G63" s="282"/>
      <c r="H63" s="282"/>
      <c r="I63" s="280"/>
      <c r="J63" s="280"/>
      <c r="K63" s="280"/>
      <c r="L63" s="280"/>
      <c r="M63" s="280"/>
      <c r="N63" s="280"/>
      <c r="O63" s="280"/>
      <c r="P63" s="300"/>
      <c r="Q63" s="89"/>
      <c r="R63" s="89"/>
      <c r="S63" s="89"/>
      <c r="T63" s="89"/>
    </row>
    <row r="64" spans="1:20" ht="16.5">
      <c r="A64" s="301" t="s">
        <v>897</v>
      </c>
      <c r="B64" s="301"/>
      <c r="C64" s="301"/>
      <c r="D64" s="301"/>
      <c r="E64" s="301"/>
      <c r="F64" s="301"/>
      <c r="G64" s="301"/>
      <c r="H64" s="301"/>
      <c r="I64" s="301"/>
      <c r="J64" s="301"/>
      <c r="K64" s="301"/>
      <c r="L64" s="301"/>
      <c r="M64" s="301"/>
      <c r="N64" s="301"/>
      <c r="O64" s="301"/>
      <c r="P64" s="301"/>
      <c r="Q64" s="290"/>
      <c r="R64" s="290"/>
      <c r="S64" s="290"/>
      <c r="T64" s="290"/>
    </row>
    <row r="65" spans="1:20" ht="181.5">
      <c r="A65" s="88" t="s">
        <v>898</v>
      </c>
      <c r="B65" s="88" t="s">
        <v>899</v>
      </c>
      <c r="C65" s="89" t="s">
        <v>900</v>
      </c>
      <c r="D65" s="88" t="s">
        <v>901</v>
      </c>
      <c r="E65" s="280" t="s">
        <v>289</v>
      </c>
      <c r="F65" s="280" t="s">
        <v>290</v>
      </c>
      <c r="G65" s="282"/>
      <c r="H65" s="282"/>
      <c r="I65" s="280"/>
      <c r="J65" s="280"/>
      <c r="K65" s="280"/>
      <c r="L65" s="280"/>
      <c r="M65" s="280"/>
      <c r="N65" s="280"/>
      <c r="O65" s="280"/>
      <c r="P65" s="300"/>
      <c r="Q65" s="89"/>
      <c r="R65" s="89"/>
      <c r="S65" s="89"/>
      <c r="T65" s="89"/>
    </row>
    <row r="66" spans="1:20" ht="90">
      <c r="A66" s="88" t="s">
        <v>898</v>
      </c>
      <c r="B66" s="88" t="s">
        <v>899</v>
      </c>
      <c r="C66" s="89" t="s">
        <v>548</v>
      </c>
      <c r="D66" s="88" t="s">
        <v>902</v>
      </c>
      <c r="E66" s="280" t="s">
        <v>593</v>
      </c>
      <c r="F66" s="302" t="s">
        <v>291</v>
      </c>
      <c r="G66" s="282"/>
      <c r="H66" s="282"/>
      <c r="I66" s="302"/>
      <c r="J66" s="302"/>
      <c r="K66" s="302"/>
      <c r="L66" s="302"/>
      <c r="M66" s="302"/>
      <c r="N66" s="302"/>
      <c r="O66" s="302"/>
      <c r="P66" s="303"/>
      <c r="Q66" s="302"/>
      <c r="R66" s="302"/>
      <c r="S66" s="302"/>
      <c r="T66" s="302"/>
    </row>
    <row r="67" spans="1:20" ht="49.5">
      <c r="A67" s="88" t="s">
        <v>898</v>
      </c>
      <c r="B67" s="88" t="s">
        <v>899</v>
      </c>
      <c r="C67" s="89" t="s">
        <v>903</v>
      </c>
      <c r="D67" s="88" t="s">
        <v>902</v>
      </c>
      <c r="E67" s="280" t="s">
        <v>292</v>
      </c>
      <c r="F67" s="280" t="s">
        <v>293</v>
      </c>
      <c r="G67" s="282"/>
      <c r="H67" s="282"/>
      <c r="I67" s="280"/>
      <c r="J67" s="280"/>
      <c r="K67" s="280"/>
      <c r="L67" s="280"/>
      <c r="M67" s="280"/>
      <c r="N67" s="280"/>
      <c r="O67" s="280"/>
      <c r="P67" s="300"/>
      <c r="Q67" s="89"/>
      <c r="R67" s="89"/>
      <c r="S67" s="89"/>
      <c r="T67" s="89"/>
    </row>
    <row r="68" spans="1:20" ht="66">
      <c r="A68" s="284" t="s">
        <v>142</v>
      </c>
      <c r="B68" s="304" t="s">
        <v>904</v>
      </c>
      <c r="C68" s="304" t="s">
        <v>905</v>
      </c>
      <c r="D68" s="304" t="s">
        <v>906</v>
      </c>
      <c r="E68" s="280" t="s">
        <v>550</v>
      </c>
      <c r="F68" s="280" t="s">
        <v>294</v>
      </c>
      <c r="G68" s="282"/>
      <c r="H68" s="282"/>
      <c r="I68" s="280"/>
      <c r="J68" s="280"/>
      <c r="K68" s="280"/>
      <c r="L68" s="280"/>
      <c r="M68" s="280"/>
      <c r="N68" s="280"/>
      <c r="O68" s="280"/>
      <c r="P68" s="300"/>
      <c r="Q68" s="89"/>
      <c r="R68" s="89"/>
      <c r="S68" s="89"/>
      <c r="T68" s="89"/>
    </row>
    <row r="69" spans="1:20" ht="16.5">
      <c r="A69" s="278" t="s">
        <v>295</v>
      </c>
      <c r="B69" s="276"/>
      <c r="C69" s="276"/>
      <c r="D69" s="276"/>
      <c r="E69" s="276"/>
      <c r="F69" s="276"/>
      <c r="G69" s="276"/>
      <c r="H69" s="277"/>
      <c r="I69" s="276"/>
      <c r="J69" s="276"/>
      <c r="K69" s="276"/>
      <c r="L69" s="276"/>
      <c r="M69" s="276"/>
      <c r="N69" s="276"/>
      <c r="O69" s="276"/>
      <c r="P69" s="276"/>
      <c r="Q69" s="290"/>
      <c r="R69" s="290"/>
      <c r="S69" s="290"/>
      <c r="T69" s="290"/>
    </row>
    <row r="70" spans="1:20" ht="115.5">
      <c r="A70" s="279" t="s">
        <v>887</v>
      </c>
      <c r="B70" s="279" t="s">
        <v>908</v>
      </c>
      <c r="C70" s="280" t="s">
        <v>909</v>
      </c>
      <c r="D70" s="280" t="s">
        <v>910</v>
      </c>
      <c r="E70" s="89" t="s">
        <v>595</v>
      </c>
      <c r="F70" s="280" t="s">
        <v>296</v>
      </c>
      <c r="G70" s="282"/>
      <c r="H70" s="282"/>
      <c r="I70" s="280"/>
      <c r="J70" s="280"/>
      <c r="K70" s="280"/>
      <c r="L70" s="280"/>
      <c r="M70" s="280"/>
      <c r="N70" s="280"/>
      <c r="O70" s="280"/>
      <c r="P70" s="300"/>
      <c r="Q70" s="89"/>
      <c r="R70" s="89"/>
      <c r="S70" s="89"/>
      <c r="T70" s="89"/>
    </row>
    <row r="71" spans="1:20" ht="115.5">
      <c r="A71" s="88" t="s">
        <v>887</v>
      </c>
      <c r="B71" s="88" t="s">
        <v>908</v>
      </c>
      <c r="C71" s="89" t="s">
        <v>909</v>
      </c>
      <c r="D71" s="89" t="s">
        <v>910</v>
      </c>
      <c r="E71" s="89" t="s">
        <v>417</v>
      </c>
      <c r="F71" s="89" t="s">
        <v>297</v>
      </c>
      <c r="G71" s="282"/>
      <c r="H71" s="282"/>
      <c r="I71" s="89"/>
      <c r="J71" s="89"/>
      <c r="K71" s="89"/>
      <c r="L71" s="89"/>
      <c r="M71" s="89"/>
      <c r="N71" s="89"/>
      <c r="O71" s="89"/>
      <c r="P71" s="305"/>
      <c r="Q71" s="89"/>
      <c r="R71" s="89"/>
      <c r="S71" s="89"/>
      <c r="T71" s="89"/>
    </row>
    <row r="72" spans="1:20" ht="16.5">
      <c r="A72" s="278" t="s">
        <v>298</v>
      </c>
      <c r="B72" s="276"/>
      <c r="C72" s="276"/>
      <c r="D72" s="276"/>
      <c r="E72" s="276"/>
      <c r="F72" s="276"/>
      <c r="G72" s="276"/>
      <c r="H72" s="277"/>
      <c r="I72" s="276"/>
      <c r="J72" s="276"/>
      <c r="K72" s="276"/>
      <c r="L72" s="276"/>
      <c r="M72" s="276"/>
      <c r="N72" s="276"/>
      <c r="O72" s="276"/>
      <c r="P72" s="276"/>
      <c r="Q72" s="290"/>
      <c r="R72" s="290"/>
      <c r="S72" s="290"/>
      <c r="T72" s="290"/>
    </row>
    <row r="73" spans="1:20" ht="115.5">
      <c r="A73" s="422" t="s">
        <v>898</v>
      </c>
      <c r="B73" s="422" t="s">
        <v>140</v>
      </c>
      <c r="C73" s="420" t="s">
        <v>299</v>
      </c>
      <c r="D73" s="299" t="s">
        <v>471</v>
      </c>
      <c r="E73" s="89" t="s">
        <v>338</v>
      </c>
      <c r="F73" s="280" t="s">
        <v>300</v>
      </c>
      <c r="G73" s="282"/>
      <c r="H73" s="282"/>
      <c r="I73" s="280"/>
      <c r="J73" s="280"/>
      <c r="K73" s="280"/>
      <c r="L73" s="280"/>
      <c r="M73" s="280"/>
      <c r="N73" s="280"/>
      <c r="O73" s="280"/>
      <c r="P73" s="300"/>
      <c r="Q73" s="89"/>
      <c r="R73" s="89"/>
      <c r="S73" s="89"/>
      <c r="T73" s="89"/>
    </row>
    <row r="74" spans="1:20" ht="115.5">
      <c r="A74" s="423"/>
      <c r="B74" s="423"/>
      <c r="C74" s="418"/>
      <c r="D74" s="109" t="s">
        <v>339</v>
      </c>
      <c r="E74" s="103" t="s">
        <v>596</v>
      </c>
      <c r="F74" s="280" t="s">
        <v>301</v>
      </c>
      <c r="G74" s="282"/>
      <c r="H74" s="282"/>
      <c r="I74" s="280"/>
      <c r="J74" s="280"/>
      <c r="K74" s="280"/>
      <c r="L74" s="280"/>
      <c r="M74" s="280"/>
      <c r="N74" s="280"/>
      <c r="O74" s="280"/>
      <c r="P74" s="300"/>
      <c r="Q74" s="89"/>
      <c r="R74" s="89"/>
      <c r="S74" s="89"/>
      <c r="T74" s="89"/>
    </row>
    <row r="75" spans="1:20" ht="16.5">
      <c r="A75" s="278" t="s">
        <v>302</v>
      </c>
      <c r="B75" s="276"/>
      <c r="C75" s="276"/>
      <c r="D75" s="276"/>
      <c r="E75" s="276"/>
      <c r="F75" s="276"/>
      <c r="G75" s="276"/>
      <c r="H75" s="277"/>
      <c r="I75" s="276"/>
      <c r="J75" s="276"/>
      <c r="K75" s="276"/>
      <c r="L75" s="276"/>
      <c r="M75" s="276"/>
      <c r="N75" s="276"/>
      <c r="O75" s="276"/>
      <c r="P75" s="276"/>
      <c r="Q75" s="290"/>
      <c r="R75" s="290"/>
      <c r="S75" s="290"/>
      <c r="T75" s="290"/>
    </row>
    <row r="76" spans="1:20" ht="66">
      <c r="A76" s="424" t="s">
        <v>898</v>
      </c>
      <c r="B76" s="424" t="s">
        <v>140</v>
      </c>
      <c r="C76" s="425" t="s">
        <v>844</v>
      </c>
      <c r="D76" s="299" t="s">
        <v>341</v>
      </c>
      <c r="E76" s="280" t="s">
        <v>303</v>
      </c>
      <c r="F76" s="419" t="s">
        <v>304</v>
      </c>
      <c r="G76" s="282"/>
      <c r="H76" s="282"/>
      <c r="I76" s="304"/>
      <c r="J76" s="304"/>
      <c r="K76" s="304"/>
      <c r="L76" s="304"/>
      <c r="M76" s="304"/>
      <c r="N76" s="304"/>
      <c r="O76" s="304"/>
      <c r="P76" s="306"/>
      <c r="Q76" s="89"/>
      <c r="R76" s="89"/>
      <c r="S76" s="89"/>
      <c r="T76" s="89"/>
    </row>
    <row r="77" spans="1:20" ht="49.5">
      <c r="A77" s="422"/>
      <c r="B77" s="422"/>
      <c r="C77" s="420"/>
      <c r="D77" s="109" t="s">
        <v>305</v>
      </c>
      <c r="E77" s="109" t="s">
        <v>306</v>
      </c>
      <c r="F77" s="420"/>
      <c r="G77" s="282"/>
      <c r="H77" s="282"/>
      <c r="I77" s="280"/>
      <c r="J77" s="280"/>
      <c r="K77" s="280"/>
      <c r="L77" s="280"/>
      <c r="M77" s="280"/>
      <c r="N77" s="280"/>
      <c r="O77" s="280"/>
      <c r="P77" s="300"/>
      <c r="Q77" s="89"/>
      <c r="R77" s="89"/>
      <c r="S77" s="89"/>
      <c r="T77" s="89"/>
    </row>
    <row r="78" spans="1:20" ht="18.75">
      <c r="A78" s="287" t="s">
        <v>464</v>
      </c>
      <c r="B78" s="270"/>
      <c r="C78" s="270"/>
      <c r="D78" s="270"/>
      <c r="E78" s="270"/>
      <c r="F78" s="270"/>
      <c r="G78" s="270"/>
      <c r="H78" s="270"/>
      <c r="I78" s="270"/>
      <c r="J78" s="270"/>
      <c r="K78" s="270"/>
      <c r="L78" s="270"/>
      <c r="M78" s="270"/>
      <c r="N78" s="270"/>
      <c r="O78" s="270"/>
      <c r="P78" s="270"/>
      <c r="Q78" s="289"/>
      <c r="R78" s="289"/>
      <c r="S78" s="289"/>
      <c r="T78" s="289"/>
    </row>
    <row r="79" spans="1:20" ht="16.5">
      <c r="A79" s="278" t="s">
        <v>465</v>
      </c>
      <c r="B79" s="276"/>
      <c r="C79" s="276"/>
      <c r="D79" s="276"/>
      <c r="E79" s="276"/>
      <c r="F79" s="276"/>
      <c r="G79" s="276"/>
      <c r="H79" s="277"/>
      <c r="I79" s="276"/>
      <c r="J79" s="276"/>
      <c r="K79" s="276"/>
      <c r="L79" s="276"/>
      <c r="M79" s="276"/>
      <c r="N79" s="276"/>
      <c r="O79" s="276"/>
      <c r="P79" s="276"/>
      <c r="Q79" s="290"/>
      <c r="R79" s="290"/>
      <c r="S79" s="290"/>
      <c r="T79" s="290"/>
    </row>
    <row r="80" spans="1:20" ht="102">
      <c r="A80" s="178" t="s">
        <v>466</v>
      </c>
      <c r="B80" s="178" t="s">
        <v>467</v>
      </c>
      <c r="C80" s="179" t="s">
        <v>431</v>
      </c>
      <c r="D80" s="179" t="s">
        <v>467</v>
      </c>
      <c r="E80" s="183" t="s">
        <v>949</v>
      </c>
      <c r="F80" s="183" t="s">
        <v>307</v>
      </c>
      <c r="G80" s="282"/>
      <c r="H80" s="282"/>
      <c r="I80" s="183"/>
      <c r="J80" s="183"/>
      <c r="K80" s="183"/>
      <c r="L80" s="183"/>
      <c r="M80" s="183"/>
      <c r="N80" s="183"/>
      <c r="O80" s="183"/>
      <c r="P80" s="307"/>
      <c r="Q80" s="183"/>
      <c r="R80" s="183"/>
      <c r="S80" s="183"/>
      <c r="T80" s="183"/>
    </row>
    <row r="81" spans="1:20" ht="63.75">
      <c r="A81" s="183" t="s">
        <v>877</v>
      </c>
      <c r="B81" s="183" t="s">
        <v>173</v>
      </c>
      <c r="C81" s="183" t="s">
        <v>432</v>
      </c>
      <c r="D81" s="183" t="s">
        <v>173</v>
      </c>
      <c r="E81" s="183" t="s">
        <v>308</v>
      </c>
      <c r="F81" s="183" t="s">
        <v>309</v>
      </c>
      <c r="G81" s="282"/>
      <c r="H81" s="282"/>
      <c r="I81" s="183"/>
      <c r="J81" s="183"/>
      <c r="K81" s="183"/>
      <c r="L81" s="183"/>
      <c r="M81" s="183"/>
      <c r="N81" s="183"/>
      <c r="O81" s="183"/>
      <c r="P81" s="307"/>
      <c r="Q81" s="183"/>
      <c r="R81" s="183"/>
      <c r="S81" s="183"/>
      <c r="T81" s="183"/>
    </row>
    <row r="82" spans="1:20" ht="66" customHeight="1">
      <c r="A82" s="179" t="s">
        <v>877</v>
      </c>
      <c r="B82" s="179" t="s">
        <v>173</v>
      </c>
      <c r="C82" s="183" t="s">
        <v>433</v>
      </c>
      <c r="D82" s="179" t="s">
        <v>173</v>
      </c>
      <c r="E82" s="183" t="s">
        <v>310</v>
      </c>
      <c r="F82" s="183" t="s">
        <v>311</v>
      </c>
      <c r="G82" s="282"/>
      <c r="H82" s="282"/>
      <c r="I82" s="183"/>
      <c r="J82" s="183"/>
      <c r="K82" s="183"/>
      <c r="L82" s="183"/>
      <c r="M82" s="183"/>
      <c r="N82" s="183"/>
      <c r="O82" s="183"/>
      <c r="P82" s="307"/>
      <c r="Q82" s="183"/>
      <c r="R82" s="183"/>
      <c r="S82" s="183"/>
      <c r="T82" s="183"/>
    </row>
    <row r="83" spans="1:20" ht="153">
      <c r="A83" s="178" t="s">
        <v>627</v>
      </c>
      <c r="B83" s="179" t="s">
        <v>628</v>
      </c>
      <c r="C83" s="179" t="s">
        <v>434</v>
      </c>
      <c r="D83" s="179" t="s">
        <v>628</v>
      </c>
      <c r="E83" s="183" t="s">
        <v>434</v>
      </c>
      <c r="F83" s="183" t="s">
        <v>312</v>
      </c>
      <c r="G83" s="282"/>
      <c r="H83" s="282"/>
      <c r="I83" s="183"/>
      <c r="J83" s="183"/>
      <c r="K83" s="183"/>
      <c r="L83" s="183"/>
      <c r="M83" s="183"/>
      <c r="N83" s="183"/>
      <c r="O83" s="183"/>
      <c r="P83" s="307"/>
      <c r="Q83" s="183"/>
      <c r="R83" s="183"/>
      <c r="S83" s="183"/>
      <c r="T83" s="183"/>
    </row>
    <row r="84" spans="1:20" ht="89.25">
      <c r="A84" s="178" t="s">
        <v>466</v>
      </c>
      <c r="B84" s="179" t="s">
        <v>467</v>
      </c>
      <c r="C84" s="179" t="s">
        <v>586</v>
      </c>
      <c r="D84" s="179" t="s">
        <v>467</v>
      </c>
      <c r="E84" s="183" t="s">
        <v>952</v>
      </c>
      <c r="F84" s="183" t="s">
        <v>313</v>
      </c>
      <c r="G84" s="282"/>
      <c r="H84" s="282"/>
      <c r="I84" s="183"/>
      <c r="J84" s="183"/>
      <c r="K84" s="183"/>
      <c r="L84" s="183"/>
      <c r="M84" s="183"/>
      <c r="N84" s="183"/>
      <c r="O84" s="183"/>
      <c r="P84" s="307"/>
      <c r="Q84" s="183"/>
      <c r="R84" s="183"/>
      <c r="S84" s="183"/>
      <c r="T84" s="183"/>
    </row>
    <row r="85" spans="1:20" ht="127.5">
      <c r="A85" s="178" t="s">
        <v>627</v>
      </c>
      <c r="B85" s="179" t="s">
        <v>467</v>
      </c>
      <c r="C85" s="179" t="s">
        <v>487</v>
      </c>
      <c r="D85" s="179" t="s">
        <v>467</v>
      </c>
      <c r="E85" s="183" t="s">
        <v>314</v>
      </c>
      <c r="F85" s="183" t="s">
        <v>847</v>
      </c>
      <c r="G85" s="282"/>
      <c r="H85" s="282"/>
      <c r="I85" s="183"/>
      <c r="J85" s="183"/>
      <c r="K85" s="183"/>
      <c r="L85" s="183"/>
      <c r="M85" s="183"/>
      <c r="N85" s="183"/>
      <c r="O85" s="183"/>
      <c r="P85" s="307"/>
      <c r="Q85" s="183"/>
      <c r="R85" s="183"/>
      <c r="S85" s="183"/>
      <c r="T85" s="183"/>
    </row>
    <row r="86" spans="1:20" ht="75" customHeight="1">
      <c r="A86" s="178" t="s">
        <v>627</v>
      </c>
      <c r="B86" s="179" t="s">
        <v>587</v>
      </c>
      <c r="C86" s="179" t="s">
        <v>487</v>
      </c>
      <c r="D86" s="179" t="s">
        <v>587</v>
      </c>
      <c r="E86" s="183" t="s">
        <v>314</v>
      </c>
      <c r="F86" s="183" t="s">
        <v>848</v>
      </c>
      <c r="G86" s="282"/>
      <c r="H86" s="282"/>
      <c r="I86" s="183"/>
      <c r="J86" s="183"/>
      <c r="K86" s="183"/>
      <c r="L86" s="183"/>
      <c r="M86" s="183"/>
      <c r="N86" s="183"/>
      <c r="O86" s="183"/>
      <c r="P86" s="307"/>
      <c r="Q86" s="183"/>
      <c r="R86" s="183"/>
      <c r="S86" s="183"/>
      <c r="T86" s="183"/>
    </row>
    <row r="87" spans="1:20" ht="102">
      <c r="A87" s="178" t="s">
        <v>627</v>
      </c>
      <c r="B87" s="179" t="s">
        <v>588</v>
      </c>
      <c r="C87" s="179" t="s">
        <v>488</v>
      </c>
      <c r="D87" s="179" t="s">
        <v>588</v>
      </c>
      <c r="E87" s="183" t="s">
        <v>955</v>
      </c>
      <c r="F87" s="183" t="s">
        <v>849</v>
      </c>
      <c r="G87" s="282"/>
      <c r="H87" s="282"/>
      <c r="I87" s="183"/>
      <c r="J87" s="308">
        <v>0.4238</v>
      </c>
      <c r="K87" s="308"/>
      <c r="L87" s="308"/>
      <c r="M87" s="308"/>
      <c r="N87" s="308"/>
      <c r="O87" s="308"/>
      <c r="P87" s="309"/>
      <c r="Q87" s="308"/>
      <c r="R87" s="308"/>
      <c r="S87" s="308"/>
      <c r="T87" s="308"/>
    </row>
    <row r="88" spans="1:20" ht="89.25">
      <c r="A88" s="178" t="s">
        <v>627</v>
      </c>
      <c r="B88" s="179" t="s">
        <v>588</v>
      </c>
      <c r="C88" s="183" t="s">
        <v>418</v>
      </c>
      <c r="D88" s="179" t="s">
        <v>588</v>
      </c>
      <c r="E88" s="183" t="s">
        <v>956</v>
      </c>
      <c r="F88" s="183" t="s">
        <v>850</v>
      </c>
      <c r="G88" s="282"/>
      <c r="H88" s="282"/>
      <c r="I88" s="183"/>
      <c r="J88" s="310">
        <v>0.37</v>
      </c>
      <c r="K88" s="310"/>
      <c r="L88" s="310"/>
      <c r="M88" s="310"/>
      <c r="N88" s="310"/>
      <c r="O88" s="310"/>
      <c r="P88" s="311"/>
      <c r="Q88" s="310"/>
      <c r="R88" s="310"/>
      <c r="S88" s="310"/>
      <c r="T88" s="310"/>
    </row>
    <row r="89" spans="1:20" ht="63.75">
      <c r="A89" s="178" t="s">
        <v>627</v>
      </c>
      <c r="B89" s="179" t="s">
        <v>588</v>
      </c>
      <c r="C89" s="179" t="s">
        <v>419</v>
      </c>
      <c r="D89" s="179" t="s">
        <v>588</v>
      </c>
      <c r="E89" s="183" t="s">
        <v>957</v>
      </c>
      <c r="F89" s="183" t="s">
        <v>851</v>
      </c>
      <c r="G89" s="282"/>
      <c r="H89" s="282"/>
      <c r="I89" s="183"/>
      <c r="J89" s="312">
        <v>0.6576</v>
      </c>
      <c r="K89" s="312"/>
      <c r="L89" s="312"/>
      <c r="M89" s="312"/>
      <c r="N89" s="312"/>
      <c r="O89" s="312"/>
      <c r="P89" s="313"/>
      <c r="Q89" s="312"/>
      <c r="R89" s="312"/>
      <c r="S89" s="312"/>
      <c r="T89" s="312"/>
    </row>
    <row r="90" spans="1:20" ht="114.75">
      <c r="A90" s="179" t="s">
        <v>589</v>
      </c>
      <c r="B90" s="314" t="s">
        <v>420</v>
      </c>
      <c r="C90" s="179" t="s">
        <v>852</v>
      </c>
      <c r="D90" s="314" t="s">
        <v>420</v>
      </c>
      <c r="E90" s="183" t="s">
        <v>853</v>
      </c>
      <c r="F90" s="183" t="s">
        <v>854</v>
      </c>
      <c r="G90" s="282"/>
      <c r="H90" s="282"/>
      <c r="I90" s="183"/>
      <c r="J90" s="282"/>
      <c r="K90" s="282"/>
      <c r="L90" s="282"/>
      <c r="M90" s="282"/>
      <c r="N90" s="282"/>
      <c r="O90" s="282"/>
      <c r="P90" s="298"/>
      <c r="Q90" s="282"/>
      <c r="R90" s="282"/>
      <c r="S90" s="282"/>
      <c r="T90" s="282"/>
    </row>
    <row r="91" spans="1:20" ht="87" customHeight="1">
      <c r="A91" s="179" t="s">
        <v>589</v>
      </c>
      <c r="B91" s="314" t="s">
        <v>420</v>
      </c>
      <c r="C91" s="179" t="s">
        <v>696</v>
      </c>
      <c r="D91" s="314" t="s">
        <v>420</v>
      </c>
      <c r="E91" s="183" t="s">
        <v>959</v>
      </c>
      <c r="F91" s="183" t="s">
        <v>553</v>
      </c>
      <c r="G91" s="282"/>
      <c r="H91" s="282"/>
      <c r="I91" s="183"/>
      <c r="J91" s="282"/>
      <c r="K91" s="282"/>
      <c r="L91" s="282"/>
      <c r="M91" s="282"/>
      <c r="N91" s="282"/>
      <c r="O91" s="282"/>
      <c r="P91" s="298"/>
      <c r="Q91" s="282"/>
      <c r="R91" s="282"/>
      <c r="S91" s="282"/>
      <c r="T91" s="282"/>
    </row>
    <row r="92" spans="1:20" ht="88.5" customHeight="1">
      <c r="A92" s="178" t="s">
        <v>627</v>
      </c>
      <c r="B92" s="179" t="s">
        <v>590</v>
      </c>
      <c r="C92" s="179" t="s">
        <v>591</v>
      </c>
      <c r="D92" s="179" t="s">
        <v>590</v>
      </c>
      <c r="E92" s="183" t="s">
        <v>960</v>
      </c>
      <c r="F92" s="183" t="s">
        <v>554</v>
      </c>
      <c r="G92" s="282"/>
      <c r="H92" s="282"/>
      <c r="I92" s="183"/>
      <c r="J92" s="312">
        <v>0.9895</v>
      </c>
      <c r="K92" s="312"/>
      <c r="L92" s="312"/>
      <c r="M92" s="312"/>
      <c r="N92" s="312"/>
      <c r="O92" s="312"/>
      <c r="P92" s="313"/>
      <c r="Q92" s="312"/>
      <c r="R92" s="312"/>
      <c r="S92" s="312"/>
      <c r="T92" s="312"/>
    </row>
    <row r="93" spans="1:20" ht="140.25">
      <c r="A93" s="178" t="s">
        <v>627</v>
      </c>
      <c r="B93" s="179" t="s">
        <v>628</v>
      </c>
      <c r="C93" s="179" t="s">
        <v>431</v>
      </c>
      <c r="D93" s="179" t="s">
        <v>628</v>
      </c>
      <c r="E93" s="183" t="s">
        <v>555</v>
      </c>
      <c r="F93" s="183" t="s">
        <v>556</v>
      </c>
      <c r="G93" s="282"/>
      <c r="H93" s="282"/>
      <c r="I93" s="183"/>
      <c r="J93" s="282"/>
      <c r="K93" s="282"/>
      <c r="L93" s="282"/>
      <c r="M93" s="282"/>
      <c r="N93" s="282"/>
      <c r="O93" s="282"/>
      <c r="P93" s="298"/>
      <c r="Q93" s="282"/>
      <c r="R93" s="282"/>
      <c r="S93" s="282"/>
      <c r="T93" s="282"/>
    </row>
    <row r="94" spans="1:20" ht="153">
      <c r="A94" s="178" t="s">
        <v>627</v>
      </c>
      <c r="B94" s="179" t="s">
        <v>467</v>
      </c>
      <c r="C94" s="179" t="s">
        <v>697</v>
      </c>
      <c r="D94" s="179" t="s">
        <v>467</v>
      </c>
      <c r="E94" s="183" t="s">
        <v>697</v>
      </c>
      <c r="F94" s="183" t="s">
        <v>557</v>
      </c>
      <c r="G94" s="282"/>
      <c r="H94" s="282"/>
      <c r="I94" s="183"/>
      <c r="J94" s="282"/>
      <c r="K94" s="282"/>
      <c r="L94" s="282"/>
      <c r="M94" s="282"/>
      <c r="N94" s="282"/>
      <c r="O94" s="282"/>
      <c r="P94" s="298"/>
      <c r="Q94" s="282"/>
      <c r="R94" s="282"/>
      <c r="S94" s="282"/>
      <c r="T94" s="282"/>
    </row>
    <row r="95" spans="1:20" ht="51">
      <c r="A95" s="178" t="s">
        <v>627</v>
      </c>
      <c r="B95" s="179" t="s">
        <v>628</v>
      </c>
      <c r="C95" s="179" t="s">
        <v>697</v>
      </c>
      <c r="D95" s="179" t="s">
        <v>628</v>
      </c>
      <c r="E95" s="183" t="s">
        <v>697</v>
      </c>
      <c r="F95" s="183" t="s">
        <v>558</v>
      </c>
      <c r="G95" s="282"/>
      <c r="H95" s="282"/>
      <c r="I95" s="183"/>
      <c r="J95" s="282"/>
      <c r="K95" s="282"/>
      <c r="L95" s="282"/>
      <c r="M95" s="282"/>
      <c r="N95" s="282"/>
      <c r="O95" s="282"/>
      <c r="P95" s="298"/>
      <c r="Q95" s="282"/>
      <c r="R95" s="282"/>
      <c r="S95" s="282"/>
      <c r="T95" s="282"/>
    </row>
    <row r="96" spans="1:20" ht="76.5">
      <c r="A96" s="178" t="s">
        <v>627</v>
      </c>
      <c r="B96" s="315" t="s">
        <v>702</v>
      </c>
      <c r="C96" s="315" t="s">
        <v>698</v>
      </c>
      <c r="D96" s="315" t="s">
        <v>702</v>
      </c>
      <c r="E96" s="315" t="s">
        <v>971</v>
      </c>
      <c r="F96" s="316"/>
      <c r="G96" s="316"/>
      <c r="H96" s="316"/>
      <c r="I96" s="316"/>
      <c r="J96" s="316"/>
      <c r="K96" s="316"/>
      <c r="L96" s="316"/>
      <c r="M96" s="316"/>
      <c r="N96" s="316"/>
      <c r="O96" s="316"/>
      <c r="P96" s="317"/>
      <c r="Q96" s="316"/>
      <c r="R96" s="316"/>
      <c r="S96" s="316"/>
      <c r="T96" s="316"/>
    </row>
    <row r="97" spans="1:20" ht="84.75" customHeight="1">
      <c r="A97" s="179" t="s">
        <v>877</v>
      </c>
      <c r="B97" s="179" t="s">
        <v>173</v>
      </c>
      <c r="C97" s="179" t="s">
        <v>626</v>
      </c>
      <c r="D97" s="179" t="s">
        <v>173</v>
      </c>
      <c r="E97" s="183" t="s">
        <v>972</v>
      </c>
      <c r="F97" s="183" t="s">
        <v>559</v>
      </c>
      <c r="G97" s="282"/>
      <c r="H97" s="282"/>
      <c r="I97" s="183"/>
      <c r="J97" s="183" t="s">
        <v>560</v>
      </c>
      <c r="K97" s="183"/>
      <c r="L97" s="183"/>
      <c r="M97" s="183"/>
      <c r="N97" s="183"/>
      <c r="O97" s="183"/>
      <c r="P97" s="307"/>
      <c r="Q97" s="183"/>
      <c r="R97" s="183"/>
      <c r="S97" s="183"/>
      <c r="T97" s="183"/>
    </row>
    <row r="98" spans="1:20" ht="99.75" customHeight="1">
      <c r="A98" s="178" t="s">
        <v>627</v>
      </c>
      <c r="B98" s="179" t="s">
        <v>467</v>
      </c>
      <c r="C98" s="179" t="s">
        <v>250</v>
      </c>
      <c r="D98" s="179" t="s">
        <v>467</v>
      </c>
      <c r="E98" s="183" t="s">
        <v>1053</v>
      </c>
      <c r="F98" s="183" t="s">
        <v>561</v>
      </c>
      <c r="G98" s="282"/>
      <c r="H98" s="282"/>
      <c r="I98" s="183"/>
      <c r="J98" s="282"/>
      <c r="K98" s="282"/>
      <c r="L98" s="282"/>
      <c r="M98" s="282"/>
      <c r="N98" s="282"/>
      <c r="O98" s="282"/>
      <c r="P98" s="298"/>
      <c r="Q98" s="282"/>
      <c r="R98" s="282"/>
      <c r="S98" s="282"/>
      <c r="T98" s="282"/>
    </row>
    <row r="99" spans="1:20" ht="120">
      <c r="A99" s="178" t="s">
        <v>627</v>
      </c>
      <c r="B99" s="179" t="s">
        <v>467</v>
      </c>
      <c r="C99" s="179" t="s">
        <v>629</v>
      </c>
      <c r="D99" s="179" t="s">
        <v>467</v>
      </c>
      <c r="E99" s="183" t="s">
        <v>434</v>
      </c>
      <c r="F99" s="302" t="s">
        <v>562</v>
      </c>
      <c r="G99" s="282"/>
      <c r="H99" s="282"/>
      <c r="I99" s="302"/>
      <c r="J99" s="282"/>
      <c r="K99" s="282"/>
      <c r="L99" s="282"/>
      <c r="M99" s="282"/>
      <c r="N99" s="282"/>
      <c r="O99" s="282"/>
      <c r="P99" s="298"/>
      <c r="Q99" s="282"/>
      <c r="R99" s="282"/>
      <c r="S99" s="282"/>
      <c r="T99" s="282"/>
    </row>
    <row r="100" spans="1:20" ht="123" customHeight="1">
      <c r="A100" s="178" t="s">
        <v>627</v>
      </c>
      <c r="B100" s="179" t="s">
        <v>467</v>
      </c>
      <c r="C100" s="179" t="s">
        <v>581</v>
      </c>
      <c r="D100" s="179" t="s">
        <v>467</v>
      </c>
      <c r="E100" s="183" t="s">
        <v>1054</v>
      </c>
      <c r="F100" s="183" t="s">
        <v>563</v>
      </c>
      <c r="G100" s="282"/>
      <c r="H100" s="282"/>
      <c r="I100" s="183"/>
      <c r="J100" s="282"/>
      <c r="K100" s="282"/>
      <c r="L100" s="282"/>
      <c r="M100" s="282"/>
      <c r="N100" s="282"/>
      <c r="O100" s="282"/>
      <c r="P100" s="298"/>
      <c r="Q100" s="282"/>
      <c r="R100" s="282"/>
      <c r="S100" s="282"/>
      <c r="T100" s="282"/>
    </row>
    <row r="101" spans="1:20" ht="90">
      <c r="A101" s="178" t="s">
        <v>627</v>
      </c>
      <c r="B101" s="179" t="s">
        <v>628</v>
      </c>
      <c r="C101" s="179" t="s">
        <v>582</v>
      </c>
      <c r="D101" s="179" t="s">
        <v>628</v>
      </c>
      <c r="E101" s="183" t="s">
        <v>1055</v>
      </c>
      <c r="F101" s="302" t="s">
        <v>601</v>
      </c>
      <c r="G101" s="282"/>
      <c r="H101" s="282"/>
      <c r="I101" s="302"/>
      <c r="J101" s="282"/>
      <c r="K101" s="282"/>
      <c r="L101" s="282"/>
      <c r="M101" s="282"/>
      <c r="N101" s="282"/>
      <c r="O101" s="282"/>
      <c r="P101" s="298"/>
      <c r="Q101" s="282"/>
      <c r="R101" s="282"/>
      <c r="S101" s="282"/>
      <c r="T101" s="282"/>
    </row>
    <row r="102" spans="1:20" ht="90">
      <c r="A102" s="178" t="s">
        <v>466</v>
      </c>
      <c r="B102" s="179" t="s">
        <v>467</v>
      </c>
      <c r="C102" s="183" t="s">
        <v>251</v>
      </c>
      <c r="D102" s="179" t="s">
        <v>467</v>
      </c>
      <c r="E102" s="183" t="s">
        <v>1056</v>
      </c>
      <c r="F102" s="302" t="s">
        <v>602</v>
      </c>
      <c r="G102" s="282"/>
      <c r="H102" s="282"/>
      <c r="I102" s="302"/>
      <c r="J102" s="282"/>
      <c r="K102" s="282"/>
      <c r="L102" s="282"/>
      <c r="M102" s="282"/>
      <c r="N102" s="282"/>
      <c r="O102" s="282"/>
      <c r="P102" s="298"/>
      <c r="Q102" s="282"/>
      <c r="R102" s="282"/>
      <c r="S102" s="282"/>
      <c r="T102" s="282"/>
    </row>
    <row r="103" spans="1:20" ht="105">
      <c r="A103" s="178" t="s">
        <v>466</v>
      </c>
      <c r="B103" s="179" t="s">
        <v>467</v>
      </c>
      <c r="C103" s="179" t="s">
        <v>583</v>
      </c>
      <c r="D103" s="179" t="s">
        <v>467</v>
      </c>
      <c r="E103" s="183" t="s">
        <v>1057</v>
      </c>
      <c r="F103" s="302" t="s">
        <v>603</v>
      </c>
      <c r="G103" s="282"/>
      <c r="H103" s="282"/>
      <c r="I103" s="302"/>
      <c r="J103" s="282"/>
      <c r="K103" s="282"/>
      <c r="L103" s="282"/>
      <c r="M103" s="282"/>
      <c r="N103" s="282"/>
      <c r="O103" s="282"/>
      <c r="P103" s="298"/>
      <c r="Q103" s="282"/>
      <c r="R103" s="282"/>
      <c r="S103" s="282"/>
      <c r="T103" s="282"/>
    </row>
    <row r="104" spans="1:20" ht="63.75">
      <c r="A104" s="178" t="s">
        <v>466</v>
      </c>
      <c r="B104" s="179" t="s">
        <v>628</v>
      </c>
      <c r="C104" s="179" t="s">
        <v>583</v>
      </c>
      <c r="D104" s="179" t="s">
        <v>628</v>
      </c>
      <c r="E104" s="183" t="s">
        <v>1057</v>
      </c>
      <c r="F104" s="183" t="s">
        <v>604</v>
      </c>
      <c r="G104" s="282"/>
      <c r="H104" s="282"/>
      <c r="I104" s="183"/>
      <c r="J104" s="310">
        <v>0.2</v>
      </c>
      <c r="K104" s="310"/>
      <c r="L104" s="310"/>
      <c r="M104" s="310"/>
      <c r="N104" s="310"/>
      <c r="O104" s="310"/>
      <c r="P104" s="311"/>
      <c r="Q104" s="310"/>
      <c r="R104" s="310"/>
      <c r="S104" s="310"/>
      <c r="T104" s="310"/>
    </row>
    <row r="105" spans="1:20" ht="89.25">
      <c r="A105" s="189" t="s">
        <v>466</v>
      </c>
      <c r="B105" s="183" t="s">
        <v>587</v>
      </c>
      <c r="C105" s="183" t="s">
        <v>252</v>
      </c>
      <c r="D105" s="183" t="s">
        <v>587</v>
      </c>
      <c r="E105" s="183" t="s">
        <v>605</v>
      </c>
      <c r="F105" s="183" t="s">
        <v>606</v>
      </c>
      <c r="G105" s="282"/>
      <c r="H105" s="282"/>
      <c r="I105" s="183"/>
      <c r="J105" s="282"/>
      <c r="K105" s="282"/>
      <c r="L105" s="282"/>
      <c r="M105" s="282"/>
      <c r="N105" s="282"/>
      <c r="O105" s="282"/>
      <c r="P105" s="298"/>
      <c r="Q105" s="282"/>
      <c r="R105" s="282"/>
      <c r="S105" s="282"/>
      <c r="T105" s="282"/>
    </row>
    <row r="106" spans="1:20" ht="63.75">
      <c r="A106" s="178" t="s">
        <v>466</v>
      </c>
      <c r="B106" s="179" t="s">
        <v>587</v>
      </c>
      <c r="C106" s="179" t="s">
        <v>583</v>
      </c>
      <c r="D106" s="179" t="s">
        <v>587</v>
      </c>
      <c r="E106" s="183" t="s">
        <v>1057</v>
      </c>
      <c r="F106" s="183" t="s">
        <v>607</v>
      </c>
      <c r="G106" s="282"/>
      <c r="H106" s="282"/>
      <c r="I106" s="183"/>
      <c r="J106" s="282"/>
      <c r="K106" s="282"/>
      <c r="L106" s="282"/>
      <c r="M106" s="282"/>
      <c r="N106" s="282"/>
      <c r="O106" s="282"/>
      <c r="P106" s="298"/>
      <c r="Q106" s="282"/>
      <c r="R106" s="282"/>
      <c r="S106" s="282"/>
      <c r="T106" s="282"/>
    </row>
    <row r="107" spans="1:20" ht="59.25" customHeight="1">
      <c r="A107" s="189" t="s">
        <v>466</v>
      </c>
      <c r="B107" s="183" t="s">
        <v>912</v>
      </c>
      <c r="C107" s="183" t="s">
        <v>586</v>
      </c>
      <c r="D107" s="183" t="s">
        <v>912</v>
      </c>
      <c r="E107" s="183" t="s">
        <v>1059</v>
      </c>
      <c r="F107" s="183" t="s">
        <v>608</v>
      </c>
      <c r="G107" s="282"/>
      <c r="H107" s="282"/>
      <c r="I107" s="183"/>
      <c r="J107" s="282"/>
      <c r="K107" s="282"/>
      <c r="L107" s="282"/>
      <c r="M107" s="282"/>
      <c r="N107" s="282"/>
      <c r="O107" s="282"/>
      <c r="P107" s="298"/>
      <c r="Q107" s="282"/>
      <c r="R107" s="282"/>
      <c r="S107" s="282"/>
      <c r="T107" s="282"/>
    </row>
    <row r="108" spans="1:20" ht="77.25" customHeight="1">
      <c r="A108" s="189" t="s">
        <v>627</v>
      </c>
      <c r="B108" s="183" t="s">
        <v>628</v>
      </c>
      <c r="C108" s="183" t="s">
        <v>252</v>
      </c>
      <c r="D108" s="183" t="s">
        <v>628</v>
      </c>
      <c r="E108" s="183" t="s">
        <v>605</v>
      </c>
      <c r="F108" s="183" t="s">
        <v>609</v>
      </c>
      <c r="G108" s="282"/>
      <c r="H108" s="282"/>
      <c r="I108" s="183"/>
      <c r="J108" s="282"/>
      <c r="K108" s="282"/>
      <c r="L108" s="282"/>
      <c r="M108" s="282"/>
      <c r="N108" s="282"/>
      <c r="O108" s="282"/>
      <c r="P108" s="298"/>
      <c r="Q108" s="282"/>
      <c r="R108" s="282"/>
      <c r="S108" s="282"/>
      <c r="T108" s="282"/>
    </row>
    <row r="109" spans="1:20" ht="54.75" customHeight="1">
      <c r="A109" s="189" t="s">
        <v>627</v>
      </c>
      <c r="B109" s="183" t="s">
        <v>628</v>
      </c>
      <c r="C109" s="183" t="s">
        <v>253</v>
      </c>
      <c r="D109" s="183" t="s">
        <v>628</v>
      </c>
      <c r="E109" s="183" t="s">
        <v>610</v>
      </c>
      <c r="F109" s="183" t="s">
        <v>611</v>
      </c>
      <c r="G109" s="282"/>
      <c r="H109" s="282"/>
      <c r="I109" s="183"/>
      <c r="J109" s="282"/>
      <c r="K109" s="282"/>
      <c r="L109" s="282"/>
      <c r="M109" s="282"/>
      <c r="N109" s="282"/>
      <c r="O109" s="282"/>
      <c r="P109" s="298"/>
      <c r="Q109" s="282"/>
      <c r="R109" s="282"/>
      <c r="S109" s="282"/>
      <c r="T109" s="282"/>
    </row>
    <row r="110" spans="1:20" ht="111.75" customHeight="1">
      <c r="A110" s="178" t="s">
        <v>627</v>
      </c>
      <c r="B110" s="179" t="s">
        <v>467</v>
      </c>
      <c r="C110" s="179" t="s">
        <v>254</v>
      </c>
      <c r="D110" s="179" t="s">
        <v>467</v>
      </c>
      <c r="E110" s="183" t="s">
        <v>1067</v>
      </c>
      <c r="F110" s="183" t="s">
        <v>612</v>
      </c>
      <c r="G110" s="282"/>
      <c r="H110" s="282"/>
      <c r="I110" s="183"/>
      <c r="J110" s="282"/>
      <c r="K110" s="282"/>
      <c r="L110" s="282"/>
      <c r="M110" s="282"/>
      <c r="N110" s="282"/>
      <c r="O110" s="282"/>
      <c r="P110" s="298"/>
      <c r="Q110" s="282"/>
      <c r="R110" s="282"/>
      <c r="S110" s="282"/>
      <c r="T110" s="282"/>
    </row>
    <row r="111" spans="1:20" ht="134.25" customHeight="1">
      <c r="A111" s="178" t="s">
        <v>627</v>
      </c>
      <c r="B111" s="179" t="s">
        <v>588</v>
      </c>
      <c r="C111" s="179" t="s">
        <v>255</v>
      </c>
      <c r="D111" s="179" t="s">
        <v>588</v>
      </c>
      <c r="E111" s="183" t="s">
        <v>1068</v>
      </c>
      <c r="F111" s="183" t="s">
        <v>613</v>
      </c>
      <c r="G111" s="282"/>
      <c r="H111" s="282"/>
      <c r="I111" s="183"/>
      <c r="J111" s="282"/>
      <c r="K111" s="282"/>
      <c r="L111" s="282"/>
      <c r="M111" s="282"/>
      <c r="N111" s="282"/>
      <c r="O111" s="282"/>
      <c r="P111" s="298"/>
      <c r="Q111" s="282"/>
      <c r="R111" s="282"/>
      <c r="S111" s="282"/>
      <c r="T111" s="282"/>
    </row>
    <row r="112" spans="1:20" ht="161.25" customHeight="1">
      <c r="A112" s="178" t="s">
        <v>627</v>
      </c>
      <c r="B112" s="179" t="s">
        <v>886</v>
      </c>
      <c r="C112" s="183" t="s">
        <v>256</v>
      </c>
      <c r="D112" s="179" t="s">
        <v>886</v>
      </c>
      <c r="E112" s="183" t="s">
        <v>1069</v>
      </c>
      <c r="F112" s="183" t="s">
        <v>614</v>
      </c>
      <c r="G112" s="282"/>
      <c r="H112" s="282"/>
      <c r="I112" s="183"/>
      <c r="J112" s="282"/>
      <c r="K112" s="282"/>
      <c r="L112" s="282"/>
      <c r="M112" s="282"/>
      <c r="N112" s="282"/>
      <c r="O112" s="282"/>
      <c r="P112" s="298"/>
      <c r="Q112" s="282"/>
      <c r="R112" s="282"/>
      <c r="S112" s="282"/>
      <c r="T112" s="282"/>
    </row>
    <row r="113" spans="1:20" ht="86.25" customHeight="1">
      <c r="A113" s="178" t="s">
        <v>627</v>
      </c>
      <c r="B113" s="179" t="s">
        <v>886</v>
      </c>
      <c r="C113" s="179" t="s">
        <v>580</v>
      </c>
      <c r="D113" s="179" t="s">
        <v>886</v>
      </c>
      <c r="E113" s="183" t="s">
        <v>1070</v>
      </c>
      <c r="F113" s="183" t="s">
        <v>615</v>
      </c>
      <c r="G113" s="282"/>
      <c r="H113" s="282"/>
      <c r="I113" s="183"/>
      <c r="J113" s="282"/>
      <c r="K113" s="282"/>
      <c r="L113" s="282"/>
      <c r="M113" s="282"/>
      <c r="N113" s="282"/>
      <c r="O113" s="282"/>
      <c r="P113" s="298"/>
      <c r="Q113" s="282"/>
      <c r="R113" s="282"/>
      <c r="S113" s="282"/>
      <c r="T113" s="282"/>
    </row>
    <row r="114" spans="1:20" ht="59.25" customHeight="1">
      <c r="A114" s="178" t="s">
        <v>627</v>
      </c>
      <c r="B114" s="179" t="s">
        <v>886</v>
      </c>
      <c r="C114" s="179" t="s">
        <v>885</v>
      </c>
      <c r="D114" s="179" t="s">
        <v>886</v>
      </c>
      <c r="E114" s="183" t="s">
        <v>1071</v>
      </c>
      <c r="F114" s="183" t="s">
        <v>616</v>
      </c>
      <c r="G114" s="282"/>
      <c r="H114" s="282"/>
      <c r="I114" s="183"/>
      <c r="J114" s="282"/>
      <c r="K114" s="282"/>
      <c r="L114" s="282"/>
      <c r="M114" s="282"/>
      <c r="N114" s="282"/>
      <c r="O114" s="282"/>
      <c r="P114" s="298"/>
      <c r="Q114" s="282"/>
      <c r="R114" s="282"/>
      <c r="S114" s="282"/>
      <c r="T114" s="282"/>
    </row>
    <row r="115" spans="1:20" ht="123" customHeight="1">
      <c r="A115" s="178" t="s">
        <v>627</v>
      </c>
      <c r="B115" s="179" t="s">
        <v>628</v>
      </c>
      <c r="C115" s="190" t="s">
        <v>257</v>
      </c>
      <c r="D115" s="179" t="s">
        <v>628</v>
      </c>
      <c r="E115" s="183" t="s">
        <v>617</v>
      </c>
      <c r="F115" s="183" t="s">
        <v>618</v>
      </c>
      <c r="G115" s="282"/>
      <c r="H115" s="282"/>
      <c r="I115" s="183"/>
      <c r="J115" s="282"/>
      <c r="K115" s="282"/>
      <c r="L115" s="282"/>
      <c r="M115" s="282"/>
      <c r="N115" s="282"/>
      <c r="O115" s="282"/>
      <c r="P115" s="298"/>
      <c r="Q115" s="282"/>
      <c r="R115" s="282"/>
      <c r="S115" s="282"/>
      <c r="T115" s="282"/>
    </row>
    <row r="116" spans="1:20" ht="133.5" customHeight="1">
      <c r="A116" s="178" t="s">
        <v>627</v>
      </c>
      <c r="B116" s="179" t="s">
        <v>628</v>
      </c>
      <c r="C116" s="190" t="s">
        <v>258</v>
      </c>
      <c r="D116" s="179" t="s">
        <v>628</v>
      </c>
      <c r="E116" s="183" t="s">
        <v>1073</v>
      </c>
      <c r="F116" s="183" t="s">
        <v>641</v>
      </c>
      <c r="G116" s="282"/>
      <c r="H116" s="282"/>
      <c r="I116" s="183"/>
      <c r="J116" s="282"/>
      <c r="K116" s="282"/>
      <c r="L116" s="282"/>
      <c r="M116" s="282"/>
      <c r="N116" s="282"/>
      <c r="O116" s="282"/>
      <c r="P116" s="298"/>
      <c r="Q116" s="282"/>
      <c r="R116" s="282"/>
      <c r="S116" s="282"/>
      <c r="T116" s="282"/>
    </row>
    <row r="117" spans="1:20" ht="18.75">
      <c r="A117" s="287" t="s">
        <v>342</v>
      </c>
      <c r="B117" s="270"/>
      <c r="C117" s="270"/>
      <c r="D117" s="270"/>
      <c r="E117" s="270"/>
      <c r="F117" s="270"/>
      <c r="G117" s="270"/>
      <c r="H117" s="270"/>
      <c r="I117" s="270"/>
      <c r="J117" s="270"/>
      <c r="K117" s="270"/>
      <c r="L117" s="270"/>
      <c r="M117" s="270"/>
      <c r="N117" s="270"/>
      <c r="O117" s="270"/>
      <c r="P117" s="270"/>
      <c r="Q117" s="289"/>
      <c r="R117" s="289"/>
      <c r="S117" s="289"/>
      <c r="T117" s="289"/>
    </row>
    <row r="118" spans="1:20" ht="16.5">
      <c r="A118" s="278" t="s">
        <v>343</v>
      </c>
      <c r="B118" s="276"/>
      <c r="C118" s="276"/>
      <c r="D118" s="276"/>
      <c r="E118" s="276"/>
      <c r="F118" s="276"/>
      <c r="G118" s="276"/>
      <c r="H118" s="277"/>
      <c r="I118" s="276"/>
      <c r="J118" s="276"/>
      <c r="K118" s="276"/>
      <c r="L118" s="276"/>
      <c r="M118" s="276"/>
      <c r="N118" s="276"/>
      <c r="O118" s="276"/>
      <c r="P118" s="276"/>
      <c r="Q118" s="290"/>
      <c r="R118" s="290"/>
      <c r="S118" s="290"/>
      <c r="T118" s="290"/>
    </row>
    <row r="119" spans="1:20" ht="82.5">
      <c r="A119" s="89" t="s">
        <v>344</v>
      </c>
      <c r="B119" s="89" t="s">
        <v>345</v>
      </c>
      <c r="C119" s="89" t="s">
        <v>701</v>
      </c>
      <c r="D119" s="89" t="s">
        <v>346</v>
      </c>
      <c r="E119" s="183" t="s">
        <v>642</v>
      </c>
      <c r="F119" s="183" t="s">
        <v>643</v>
      </c>
      <c r="G119" s="282"/>
      <c r="H119" s="282"/>
      <c r="I119" s="183"/>
      <c r="J119" s="282"/>
      <c r="K119" s="282"/>
      <c r="L119" s="282"/>
      <c r="M119" s="282"/>
      <c r="N119" s="282"/>
      <c r="O119" s="282"/>
      <c r="P119" s="298"/>
      <c r="Q119" s="282"/>
      <c r="R119" s="282"/>
      <c r="S119" s="282"/>
      <c r="T119" s="282"/>
    </row>
    <row r="120" spans="1:20" ht="16.5">
      <c r="A120" s="278" t="s">
        <v>644</v>
      </c>
      <c r="B120" s="276"/>
      <c r="C120" s="276"/>
      <c r="D120" s="276"/>
      <c r="E120" s="276"/>
      <c r="F120" s="276"/>
      <c r="G120" s="276"/>
      <c r="H120" s="277"/>
      <c r="I120" s="276"/>
      <c r="J120" s="276"/>
      <c r="K120" s="276"/>
      <c r="L120" s="276"/>
      <c r="M120" s="276"/>
      <c r="N120" s="276"/>
      <c r="O120" s="276"/>
      <c r="P120" s="276"/>
      <c r="Q120" s="290"/>
      <c r="R120" s="290"/>
      <c r="S120" s="290"/>
      <c r="T120" s="290"/>
    </row>
    <row r="121" spans="1:20" ht="66">
      <c r="A121" s="89"/>
      <c r="B121" s="89"/>
      <c r="C121" s="89"/>
      <c r="D121" s="89"/>
      <c r="E121" s="421" t="s">
        <v>923</v>
      </c>
      <c r="F121" s="318" t="s">
        <v>924</v>
      </c>
      <c r="G121" s="318" t="s">
        <v>645</v>
      </c>
      <c r="H121" s="319" t="s">
        <v>646</v>
      </c>
      <c r="I121" s="318"/>
      <c r="J121" s="318"/>
      <c r="K121" s="318"/>
      <c r="L121" s="318"/>
      <c r="M121" s="318"/>
      <c r="N121" s="318"/>
      <c r="O121" s="318"/>
      <c r="P121" s="320"/>
      <c r="Q121" s="318"/>
      <c r="R121" s="318"/>
      <c r="S121" s="318"/>
      <c r="T121" s="318"/>
    </row>
    <row r="122" spans="1:20" ht="99">
      <c r="A122" s="89"/>
      <c r="B122" s="89"/>
      <c r="C122" s="89"/>
      <c r="D122" s="89"/>
      <c r="E122" s="421"/>
      <c r="F122" s="318" t="s">
        <v>406</v>
      </c>
      <c r="G122" s="318" t="s">
        <v>645</v>
      </c>
      <c r="H122" s="319" t="s">
        <v>647</v>
      </c>
      <c r="I122" s="318"/>
      <c r="J122" s="318"/>
      <c r="K122" s="318"/>
      <c r="L122" s="318"/>
      <c r="M122" s="318"/>
      <c r="N122" s="318"/>
      <c r="O122" s="318"/>
      <c r="P122" s="320"/>
      <c r="Q122" s="318"/>
      <c r="R122" s="318"/>
      <c r="S122" s="318"/>
      <c r="T122" s="318"/>
    </row>
    <row r="123" spans="1:20" ht="18.75">
      <c r="A123" s="287" t="s">
        <v>347</v>
      </c>
      <c r="B123" s="270"/>
      <c r="C123" s="270"/>
      <c r="D123" s="270"/>
      <c r="E123" s="270"/>
      <c r="F123" s="270"/>
      <c r="G123" s="270"/>
      <c r="H123" s="270"/>
      <c r="I123" s="270"/>
      <c r="J123" s="270"/>
      <c r="K123" s="270"/>
      <c r="L123" s="270"/>
      <c r="M123" s="270"/>
      <c r="N123" s="270"/>
      <c r="O123" s="270"/>
      <c r="P123" s="270"/>
      <c r="Q123" s="289"/>
      <c r="R123" s="289"/>
      <c r="S123" s="289"/>
      <c r="T123" s="289"/>
    </row>
    <row r="124" spans="1:20" ht="16.5">
      <c r="A124" s="321" t="s">
        <v>348</v>
      </c>
      <c r="B124" s="301"/>
      <c r="C124" s="301"/>
      <c r="D124" s="301"/>
      <c r="E124" s="276"/>
      <c r="F124" s="276"/>
      <c r="G124" s="276"/>
      <c r="H124" s="277"/>
      <c r="I124" s="276"/>
      <c r="J124" s="276"/>
      <c r="K124" s="276"/>
      <c r="L124" s="276"/>
      <c r="M124" s="276"/>
      <c r="N124" s="276"/>
      <c r="O124" s="276"/>
      <c r="P124" s="276"/>
      <c r="Q124" s="290"/>
      <c r="R124" s="290"/>
      <c r="S124" s="290"/>
      <c r="T124" s="290"/>
    </row>
    <row r="125" spans="1:20" ht="132">
      <c r="A125" s="322" t="s">
        <v>569</v>
      </c>
      <c r="B125" s="322" t="s">
        <v>648</v>
      </c>
      <c r="C125" s="89" t="s">
        <v>351</v>
      </c>
      <c r="D125" s="89" t="s">
        <v>352</v>
      </c>
      <c r="E125" s="282"/>
      <c r="F125" s="318" t="s">
        <v>649</v>
      </c>
      <c r="G125" s="282"/>
      <c r="H125" s="282"/>
      <c r="I125" s="318"/>
      <c r="J125" s="282"/>
      <c r="K125" s="282"/>
      <c r="L125" s="282"/>
      <c r="M125" s="282"/>
      <c r="N125" s="282"/>
      <c r="O125" s="282"/>
      <c r="P125" s="298"/>
      <c r="Q125" s="282"/>
      <c r="R125" s="282"/>
      <c r="S125" s="282"/>
      <c r="T125" s="282"/>
    </row>
    <row r="126" spans="1:20" ht="132">
      <c r="A126" s="417" t="s">
        <v>650</v>
      </c>
      <c r="B126" s="417" t="s">
        <v>651</v>
      </c>
      <c r="C126" s="89" t="s">
        <v>652</v>
      </c>
      <c r="D126" s="418" t="s">
        <v>356</v>
      </c>
      <c r="E126" s="282"/>
      <c r="F126" s="318" t="s">
        <v>653</v>
      </c>
      <c r="G126" s="282"/>
      <c r="H126" s="282"/>
      <c r="I126" s="318"/>
      <c r="J126" s="282"/>
      <c r="K126" s="282"/>
      <c r="L126" s="282"/>
      <c r="M126" s="282"/>
      <c r="N126" s="282"/>
      <c r="O126" s="282"/>
      <c r="P126" s="298"/>
      <c r="Q126" s="282"/>
      <c r="R126" s="282"/>
      <c r="S126" s="282"/>
      <c r="T126" s="282"/>
    </row>
    <row r="127" spans="1:20" ht="159" customHeight="1">
      <c r="A127" s="417"/>
      <c r="B127" s="417"/>
      <c r="C127" s="89" t="s">
        <v>357</v>
      </c>
      <c r="D127" s="418"/>
      <c r="E127" s="282"/>
      <c r="F127" s="318" t="s">
        <v>654</v>
      </c>
      <c r="G127" s="282"/>
      <c r="H127" s="282"/>
      <c r="I127" s="318"/>
      <c r="J127" s="282"/>
      <c r="K127" s="282"/>
      <c r="L127" s="282"/>
      <c r="M127" s="282"/>
      <c r="N127" s="282"/>
      <c r="O127" s="282"/>
      <c r="P127" s="298"/>
      <c r="Q127" s="282"/>
      <c r="R127" s="282"/>
      <c r="S127" s="282"/>
      <c r="T127" s="282"/>
    </row>
    <row r="128" spans="1:20" ht="99">
      <c r="A128" s="417"/>
      <c r="B128" s="417"/>
      <c r="C128" s="89" t="s">
        <v>655</v>
      </c>
      <c r="D128" s="418"/>
      <c r="E128" s="282"/>
      <c r="F128" s="318" t="s">
        <v>656</v>
      </c>
      <c r="G128" s="282"/>
      <c r="H128" s="282"/>
      <c r="I128" s="318"/>
      <c r="J128" s="282"/>
      <c r="K128" s="282"/>
      <c r="L128" s="282"/>
      <c r="M128" s="282"/>
      <c r="N128" s="282"/>
      <c r="O128" s="282"/>
      <c r="P128" s="298"/>
      <c r="Q128" s="282"/>
      <c r="R128" s="282"/>
      <c r="S128" s="282"/>
      <c r="T128" s="282"/>
    </row>
    <row r="129" spans="1:20" ht="99">
      <c r="A129" s="322" t="s">
        <v>877</v>
      </c>
      <c r="B129" s="322" t="s">
        <v>657</v>
      </c>
      <c r="C129" s="89" t="s">
        <v>361</v>
      </c>
      <c r="D129" s="89" t="s">
        <v>362</v>
      </c>
      <c r="E129" s="282"/>
      <c r="F129" s="318" t="s">
        <v>658</v>
      </c>
      <c r="G129" s="282"/>
      <c r="H129" s="282"/>
      <c r="I129" s="318"/>
      <c r="J129" s="282"/>
      <c r="K129" s="282"/>
      <c r="L129" s="282"/>
      <c r="M129" s="282"/>
      <c r="N129" s="282"/>
      <c r="O129" s="282"/>
      <c r="P129" s="298"/>
      <c r="Q129" s="282"/>
      <c r="R129" s="282"/>
      <c r="S129" s="282"/>
      <c r="T129" s="282"/>
    </row>
    <row r="130" spans="1:20" ht="82.5">
      <c r="A130" s="417" t="s">
        <v>569</v>
      </c>
      <c r="B130" s="417" t="s">
        <v>659</v>
      </c>
      <c r="C130" s="89" t="s">
        <v>689</v>
      </c>
      <c r="D130" s="418" t="s">
        <v>690</v>
      </c>
      <c r="E130" s="282"/>
      <c r="F130" s="318" t="s">
        <v>660</v>
      </c>
      <c r="G130" s="282"/>
      <c r="H130" s="282"/>
      <c r="I130" s="318"/>
      <c r="J130" s="282"/>
      <c r="K130" s="282"/>
      <c r="L130" s="282"/>
      <c r="M130" s="282"/>
      <c r="N130" s="282"/>
      <c r="O130" s="282"/>
      <c r="P130" s="298"/>
      <c r="Q130" s="282"/>
      <c r="R130" s="282"/>
      <c r="S130" s="282"/>
      <c r="T130" s="282"/>
    </row>
    <row r="131" spans="1:20" ht="99">
      <c r="A131" s="417"/>
      <c r="B131" s="417"/>
      <c r="C131" s="89" t="s">
        <v>667</v>
      </c>
      <c r="D131" s="418"/>
      <c r="E131" s="282"/>
      <c r="F131" s="318" t="s">
        <v>661</v>
      </c>
      <c r="G131" s="282"/>
      <c r="H131" s="282"/>
      <c r="I131" s="318"/>
      <c r="J131" s="282"/>
      <c r="K131" s="282"/>
      <c r="L131" s="282"/>
      <c r="M131" s="282"/>
      <c r="N131" s="282"/>
      <c r="O131" s="282"/>
      <c r="P131" s="298"/>
      <c r="Q131" s="282"/>
      <c r="R131" s="282"/>
      <c r="S131" s="282"/>
      <c r="T131" s="282"/>
    </row>
    <row r="132" spans="1:20" ht="16.5">
      <c r="A132" s="278" t="s">
        <v>668</v>
      </c>
      <c r="B132" s="276"/>
      <c r="C132" s="276"/>
      <c r="D132" s="276"/>
      <c r="E132" s="276"/>
      <c r="F132" s="276"/>
      <c r="G132" s="276"/>
      <c r="H132" s="277"/>
      <c r="I132" s="276"/>
      <c r="J132" s="276"/>
      <c r="K132" s="276"/>
      <c r="L132" s="276"/>
      <c r="M132" s="276"/>
      <c r="N132" s="276"/>
      <c r="O132" s="276"/>
      <c r="P132" s="276"/>
      <c r="Q132" s="290"/>
      <c r="R132" s="290"/>
      <c r="S132" s="290"/>
      <c r="T132" s="290"/>
    </row>
    <row r="133" spans="1:20" ht="82.5">
      <c r="A133" s="88" t="s">
        <v>669</v>
      </c>
      <c r="B133" s="88" t="s">
        <v>670</v>
      </c>
      <c r="C133" s="89" t="s">
        <v>671</v>
      </c>
      <c r="D133" s="89" t="s">
        <v>672</v>
      </c>
      <c r="E133" s="282"/>
      <c r="F133" s="89" t="s">
        <v>662</v>
      </c>
      <c r="G133" s="282"/>
      <c r="H133" s="282"/>
      <c r="I133" s="89"/>
      <c r="J133" s="282"/>
      <c r="K133" s="282"/>
      <c r="L133" s="282"/>
      <c r="M133" s="282"/>
      <c r="N133" s="282"/>
      <c r="O133" s="282"/>
      <c r="P133" s="298"/>
      <c r="Q133" s="282"/>
      <c r="R133" s="282"/>
      <c r="S133" s="282"/>
      <c r="T133" s="282"/>
    </row>
    <row r="134" spans="1:20" ht="99">
      <c r="A134" s="88" t="s">
        <v>669</v>
      </c>
      <c r="B134" s="88" t="s">
        <v>670</v>
      </c>
      <c r="C134" s="89" t="s">
        <v>407</v>
      </c>
      <c r="D134" s="89" t="s">
        <v>408</v>
      </c>
      <c r="E134" s="282"/>
      <c r="F134" s="89" t="s">
        <v>522</v>
      </c>
      <c r="G134" s="282"/>
      <c r="H134" s="282"/>
      <c r="I134" s="89"/>
      <c r="J134" s="282"/>
      <c r="K134" s="282"/>
      <c r="L134" s="282"/>
      <c r="M134" s="282"/>
      <c r="N134" s="282"/>
      <c r="O134" s="282"/>
      <c r="P134" s="298"/>
      <c r="Q134" s="282"/>
      <c r="R134" s="282"/>
      <c r="S134" s="282"/>
      <c r="T134" s="282"/>
    </row>
    <row r="135" spans="1:20" ht="49.5">
      <c r="A135" s="88" t="s">
        <v>669</v>
      </c>
      <c r="B135" s="88" t="s">
        <v>670</v>
      </c>
      <c r="C135" s="89" t="s">
        <v>409</v>
      </c>
      <c r="D135" s="89" t="s">
        <v>410</v>
      </c>
      <c r="E135" s="282"/>
      <c r="F135" s="89" t="s">
        <v>523</v>
      </c>
      <c r="G135" s="282"/>
      <c r="H135" s="282"/>
      <c r="I135" s="89"/>
      <c r="J135" s="282"/>
      <c r="K135" s="282"/>
      <c r="L135" s="282"/>
      <c r="M135" s="282"/>
      <c r="N135" s="282"/>
      <c r="O135" s="282"/>
      <c r="P135" s="298"/>
      <c r="Q135" s="282"/>
      <c r="R135" s="282"/>
      <c r="S135" s="282"/>
      <c r="T135" s="282"/>
    </row>
    <row r="136" spans="1:20" ht="18.75">
      <c r="A136" s="287" t="s">
        <v>411</v>
      </c>
      <c r="B136" s="270"/>
      <c r="C136" s="270"/>
      <c r="D136" s="270"/>
      <c r="E136" s="270"/>
      <c r="F136" s="270"/>
      <c r="G136" s="270"/>
      <c r="H136" s="270"/>
      <c r="I136" s="270"/>
      <c r="J136" s="270"/>
      <c r="K136" s="270"/>
      <c r="L136" s="270"/>
      <c r="M136" s="270"/>
      <c r="N136" s="270"/>
      <c r="O136" s="270"/>
      <c r="P136" s="270"/>
      <c r="Q136" s="289"/>
      <c r="R136" s="289"/>
      <c r="S136" s="289"/>
      <c r="T136" s="289"/>
    </row>
    <row r="137" spans="1:20" ht="16.5">
      <c r="A137" s="278" t="s">
        <v>412</v>
      </c>
      <c r="B137" s="276"/>
      <c r="C137" s="276"/>
      <c r="D137" s="276"/>
      <c r="E137" s="276"/>
      <c r="F137" s="276"/>
      <c r="G137" s="276"/>
      <c r="H137" s="277"/>
      <c r="I137" s="276"/>
      <c r="J137" s="276"/>
      <c r="K137" s="276"/>
      <c r="L137" s="276"/>
      <c r="M137" s="276"/>
      <c r="N137" s="276"/>
      <c r="O137" s="276"/>
      <c r="P137" s="276"/>
      <c r="Q137" s="290"/>
      <c r="R137" s="290"/>
      <c r="S137" s="290"/>
      <c r="T137" s="290"/>
    </row>
    <row r="138" spans="1:20" ht="82.5">
      <c r="A138" s="411" t="s">
        <v>413</v>
      </c>
      <c r="B138" s="411" t="s">
        <v>414</v>
      </c>
      <c r="C138" s="89" t="s">
        <v>415</v>
      </c>
      <c r="D138" s="411" t="s">
        <v>524</v>
      </c>
      <c r="E138" s="411" t="s">
        <v>525</v>
      </c>
      <c r="F138" s="411" t="s">
        <v>526</v>
      </c>
      <c r="G138" s="413" t="s">
        <v>527</v>
      </c>
      <c r="H138" s="415" t="s">
        <v>528</v>
      </c>
      <c r="I138" s="323"/>
      <c r="J138" s="323"/>
      <c r="K138" s="323"/>
      <c r="L138" s="323"/>
      <c r="M138" s="323"/>
      <c r="N138" s="323"/>
      <c r="O138" s="323"/>
      <c r="P138" s="324"/>
      <c r="Q138" s="325"/>
      <c r="R138" s="325"/>
      <c r="S138" s="325"/>
      <c r="T138" s="325"/>
    </row>
    <row r="139" spans="1:20" ht="82.5">
      <c r="A139" s="412"/>
      <c r="B139" s="412"/>
      <c r="C139" s="89" t="s">
        <v>832</v>
      </c>
      <c r="D139" s="412"/>
      <c r="E139" s="412"/>
      <c r="F139" s="412"/>
      <c r="G139" s="414"/>
      <c r="H139" s="416"/>
      <c r="I139" s="326"/>
      <c r="J139" s="326"/>
      <c r="K139" s="326"/>
      <c r="L139" s="326"/>
      <c r="M139" s="326"/>
      <c r="N139" s="326"/>
      <c r="O139" s="326"/>
      <c r="P139" s="327"/>
      <c r="Q139" s="325"/>
      <c r="R139" s="325"/>
      <c r="S139" s="325"/>
      <c r="T139" s="325"/>
    </row>
  </sheetData>
  <sheetProtection/>
  <protectedRanges>
    <protectedRange sqref="Q11:Q23" name="Rango1_1_1"/>
  </protectedRanges>
  <mergeCells count="56">
    <mergeCell ref="F34:F35"/>
    <mergeCell ref="Q5:T5"/>
    <mergeCell ref="A6:A7"/>
    <mergeCell ref="C6:C7"/>
    <mergeCell ref="D6:D7"/>
    <mergeCell ref="E6:E7"/>
    <mergeCell ref="I6:J6"/>
    <mergeCell ref="K6:L6"/>
    <mergeCell ref="Q6:Q7"/>
    <mergeCell ref="R6:R7"/>
    <mergeCell ref="S6:S7"/>
    <mergeCell ref="T6:T7"/>
    <mergeCell ref="G6:G7"/>
    <mergeCell ref="H6:H7"/>
    <mergeCell ref="M6:N6"/>
    <mergeCell ref="O6:P6"/>
    <mergeCell ref="A11:A12"/>
    <mergeCell ref="B11:B12"/>
    <mergeCell ref="B6:B7"/>
    <mergeCell ref="F6:F7"/>
    <mergeCell ref="A4:D5"/>
    <mergeCell ref="E4:P4"/>
    <mergeCell ref="E34:E35"/>
    <mergeCell ref="A13:A14"/>
    <mergeCell ref="B13:B14"/>
    <mergeCell ref="C13:C14"/>
    <mergeCell ref="A15:A17"/>
    <mergeCell ref="B15:B17"/>
    <mergeCell ref="C76:C77"/>
    <mergeCell ref="A54:A55"/>
    <mergeCell ref="B54:B55"/>
    <mergeCell ref="C54:C55"/>
    <mergeCell ref="A56:A57"/>
    <mergeCell ref="A18:A19"/>
    <mergeCell ref="B18:B19"/>
    <mergeCell ref="C18:C19"/>
    <mergeCell ref="F76:F77"/>
    <mergeCell ref="E121:E122"/>
    <mergeCell ref="A126:A128"/>
    <mergeCell ref="B126:B128"/>
    <mergeCell ref="D126:D128"/>
    <mergeCell ref="A73:A74"/>
    <mergeCell ref="B73:B74"/>
    <mergeCell ref="C73:C74"/>
    <mergeCell ref="A76:A77"/>
    <mergeCell ref="B76:B77"/>
    <mergeCell ref="E138:E139"/>
    <mergeCell ref="F138:F139"/>
    <mergeCell ref="G138:G139"/>
    <mergeCell ref="H138:H139"/>
    <mergeCell ref="A130:A131"/>
    <mergeCell ref="B130:B131"/>
    <mergeCell ref="D130:D131"/>
    <mergeCell ref="A138:A139"/>
    <mergeCell ref="B138:B139"/>
    <mergeCell ref="D138:D139"/>
  </mergeCells>
  <printOptions/>
  <pageMargins left="0.7" right="0.7" top="0.75" bottom="0.75" header="0.3" footer="0.3"/>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12"/>
  </sheetPr>
  <dimension ref="A1:AC178"/>
  <sheetViews>
    <sheetView showGridLines="0" view="pageBreakPreview" zoomScale="75" zoomScaleNormal="40" zoomScaleSheetLayoutView="75" zoomScalePageLayoutView="0" workbookViewId="0" topLeftCell="B1">
      <pane xSplit="5" ySplit="7" topLeftCell="G8" activePane="bottomRight" state="frozen"/>
      <selection pane="topLeft" activeCell="B1" sqref="B1"/>
      <selection pane="topRight" activeCell="G1" sqref="G1"/>
      <selection pane="bottomLeft" activeCell="B8" sqref="B8"/>
      <selection pane="bottomRight" activeCell="A1" sqref="A1"/>
    </sheetView>
  </sheetViews>
  <sheetFormatPr defaultColWidth="11.421875" defaultRowHeight="15"/>
  <cols>
    <col min="1" max="1" width="5.57421875" style="54" customWidth="1"/>
    <col min="2" max="2" width="17.28125" style="158" customWidth="1"/>
    <col min="3" max="3" width="19.57421875" style="158" bestFit="1" customWidth="1"/>
    <col min="4" max="4" width="26.57421875" style="158" customWidth="1"/>
    <col min="5" max="5" width="15.140625" style="159" customWidth="1"/>
    <col min="6" max="6" width="21.00390625" style="158" customWidth="1"/>
    <col min="7" max="7" width="18.8515625" style="160" customWidth="1"/>
    <col min="8" max="8" width="18.00390625" style="160" customWidth="1"/>
    <col min="9" max="10" width="36.421875" style="161" customWidth="1"/>
    <col min="11" max="11" width="27.28125" style="161" customWidth="1"/>
    <col min="12" max="12" width="25.140625" style="161" customWidth="1"/>
    <col min="13" max="15" width="19.8515625" style="161" customWidth="1"/>
    <col min="16" max="16" width="36.421875" style="161" customWidth="1"/>
    <col min="17" max="17" width="33.57421875" style="161" customWidth="1"/>
    <col min="18" max="19" width="19.8515625" style="161" customWidth="1"/>
    <col min="20" max="20" width="36.421875" style="161" customWidth="1"/>
    <col min="21" max="21" width="33.57421875" style="161" customWidth="1"/>
    <col min="22" max="23" width="19.8515625" style="161" customWidth="1"/>
    <col min="24" max="24" width="36.421875" style="161" customWidth="1"/>
    <col min="25" max="25" width="33.57421875" style="161" customWidth="1"/>
    <col min="26" max="26" width="17.28125" style="161" customWidth="1"/>
    <col min="27" max="28" width="23.8515625" style="161" customWidth="1"/>
    <col min="29" max="29" width="22.8515625" style="54" customWidth="1"/>
    <col min="30" max="16384" width="11.421875" style="54" customWidth="1"/>
  </cols>
  <sheetData>
    <row r="1" spans="2:28" ht="21">
      <c r="B1" s="443" t="s">
        <v>125</v>
      </c>
      <c r="C1" s="443"/>
      <c r="D1" s="443"/>
      <c r="E1" s="443"/>
      <c r="F1" s="443"/>
      <c r="G1" s="443"/>
      <c r="H1" s="443"/>
      <c r="I1" s="443"/>
      <c r="J1" s="443"/>
      <c r="K1" s="443"/>
      <c r="L1" s="443"/>
      <c r="M1" s="443"/>
      <c r="N1" s="443"/>
      <c r="O1" s="443"/>
      <c r="P1" s="443"/>
      <c r="Q1" s="443"/>
      <c r="R1" s="443"/>
      <c r="S1" s="443"/>
      <c r="T1" s="443"/>
      <c r="U1" s="443"/>
      <c r="V1" s="443"/>
      <c r="W1" s="443"/>
      <c r="X1" s="443"/>
      <c r="Y1" s="443"/>
      <c r="Z1" s="443"/>
      <c r="AA1" s="230"/>
      <c r="AB1" s="230"/>
    </row>
    <row r="2" spans="2:28" ht="48" customHeight="1" thickBot="1">
      <c r="B2" s="332" t="s">
        <v>468</v>
      </c>
      <c r="C2" s="54"/>
      <c r="D2" s="54"/>
      <c r="E2" s="54"/>
      <c r="F2" s="54"/>
      <c r="G2" s="54"/>
      <c r="H2" s="56"/>
      <c r="I2" s="57"/>
      <c r="J2" s="57"/>
      <c r="K2" s="57"/>
      <c r="L2" s="57"/>
      <c r="M2" s="57"/>
      <c r="N2" s="57"/>
      <c r="O2" s="57"/>
      <c r="P2" s="57"/>
      <c r="Q2" s="57"/>
      <c r="R2" s="57"/>
      <c r="S2" s="57"/>
      <c r="T2" s="57"/>
      <c r="U2" s="57"/>
      <c r="V2" s="57"/>
      <c r="W2" s="57"/>
      <c r="X2" s="57"/>
      <c r="Y2" s="57"/>
      <c r="Z2" s="54"/>
      <c r="AA2" s="54"/>
      <c r="AB2" s="54"/>
    </row>
    <row r="3" spans="2:28" ht="17.25" customHeight="1" thickBot="1">
      <c r="B3" s="446" t="s">
        <v>510</v>
      </c>
      <c r="C3" s="447"/>
      <c r="D3" s="447"/>
      <c r="E3" s="447"/>
      <c r="F3" s="447"/>
      <c r="G3" s="58" t="s">
        <v>511</v>
      </c>
      <c r="H3" s="448" t="s">
        <v>491</v>
      </c>
      <c r="I3" s="449"/>
      <c r="J3" s="450" t="s">
        <v>494</v>
      </c>
      <c r="K3" s="451"/>
      <c r="L3" s="451"/>
      <c r="M3" s="451"/>
      <c r="N3" s="451"/>
      <c r="O3" s="451"/>
      <c r="P3" s="451"/>
      <c r="Q3" s="451"/>
      <c r="R3" s="451"/>
      <c r="S3" s="451"/>
      <c r="T3" s="451"/>
      <c r="U3" s="451"/>
      <c r="V3" s="451"/>
      <c r="W3" s="451"/>
      <c r="X3" s="451"/>
      <c r="Y3" s="451"/>
      <c r="Z3" s="451"/>
      <c r="AA3" s="457" t="s">
        <v>979</v>
      </c>
      <c r="AB3" s="457"/>
    </row>
    <row r="4" spans="2:28" s="62" customFormat="1" ht="116.25" thickBot="1">
      <c r="B4" s="59" t="s">
        <v>126</v>
      </c>
      <c r="C4" s="59" t="s">
        <v>127</v>
      </c>
      <c r="D4" s="59" t="s">
        <v>128</v>
      </c>
      <c r="E4" s="60" t="s">
        <v>129</v>
      </c>
      <c r="F4" s="59" t="s">
        <v>130</v>
      </c>
      <c r="G4" s="59" t="s">
        <v>137</v>
      </c>
      <c r="H4" s="59" t="s">
        <v>703</v>
      </c>
      <c r="I4" s="59" t="s">
        <v>831</v>
      </c>
      <c r="J4" s="61" t="s">
        <v>492</v>
      </c>
      <c r="K4" s="61" t="s">
        <v>493</v>
      </c>
      <c r="L4" s="61" t="s">
        <v>336</v>
      </c>
      <c r="M4" s="61" t="s">
        <v>337</v>
      </c>
      <c r="N4" s="256" t="s">
        <v>751</v>
      </c>
      <c r="O4" s="256" t="s">
        <v>973</v>
      </c>
      <c r="P4" s="256" t="s">
        <v>171</v>
      </c>
      <c r="Q4" s="256" t="s">
        <v>172</v>
      </c>
      <c r="R4" s="257" t="s">
        <v>169</v>
      </c>
      <c r="S4" s="257" t="s">
        <v>974</v>
      </c>
      <c r="T4" s="257" t="s">
        <v>171</v>
      </c>
      <c r="U4" s="257" t="s">
        <v>172</v>
      </c>
      <c r="V4" s="258" t="s">
        <v>170</v>
      </c>
      <c r="W4" s="258" t="s">
        <v>975</v>
      </c>
      <c r="X4" s="258" t="s">
        <v>171</v>
      </c>
      <c r="Y4" s="258" t="s">
        <v>172</v>
      </c>
      <c r="Z4" s="245" t="s">
        <v>976</v>
      </c>
      <c r="AA4" s="61" t="s">
        <v>977</v>
      </c>
      <c r="AB4" s="61" t="s">
        <v>913</v>
      </c>
    </row>
    <row r="5" spans="2:28" s="66" customFormat="1" ht="16.5">
      <c r="B5" s="63"/>
      <c r="C5" s="63"/>
      <c r="D5" s="63"/>
      <c r="E5" s="64"/>
      <c r="F5" s="63"/>
      <c r="G5" s="63"/>
      <c r="H5" s="63"/>
      <c r="I5" s="63"/>
      <c r="J5" s="65"/>
      <c r="K5" s="65"/>
      <c r="L5" s="65"/>
      <c r="M5" s="65"/>
      <c r="N5" s="65"/>
      <c r="O5" s="65"/>
      <c r="P5" s="65"/>
      <c r="Q5" s="65"/>
      <c r="R5" s="65"/>
      <c r="S5" s="65"/>
      <c r="T5" s="65"/>
      <c r="U5" s="65"/>
      <c r="V5" s="65"/>
      <c r="W5" s="65"/>
      <c r="X5" s="65"/>
      <c r="Y5" s="65"/>
      <c r="Z5" s="65"/>
      <c r="AA5" s="65"/>
      <c r="AB5" s="65"/>
    </row>
    <row r="6" spans="2:28" ht="24.75" customHeight="1">
      <c r="B6" s="67" t="s">
        <v>131</v>
      </c>
      <c r="C6" s="68"/>
      <c r="D6" s="68"/>
      <c r="E6" s="68"/>
      <c r="F6" s="68"/>
      <c r="G6" s="68"/>
      <c r="H6" s="68"/>
      <c r="I6" s="68"/>
      <c r="J6" s="68"/>
      <c r="K6" s="68"/>
      <c r="L6" s="68"/>
      <c r="M6" s="68"/>
      <c r="N6" s="68"/>
      <c r="O6" s="68"/>
      <c r="P6" s="68"/>
      <c r="Q6" s="68"/>
      <c r="R6" s="68"/>
      <c r="S6" s="68"/>
      <c r="T6" s="68"/>
      <c r="U6" s="68"/>
      <c r="V6" s="68"/>
      <c r="W6" s="68"/>
      <c r="X6" s="68"/>
      <c r="Y6" s="68"/>
      <c r="Z6" s="246"/>
      <c r="AA6" s="246"/>
      <c r="AB6" s="246"/>
    </row>
    <row r="7" spans="2:28" ht="16.5" customHeight="1">
      <c r="B7" s="69" t="s">
        <v>132</v>
      </c>
      <c r="C7" s="70"/>
      <c r="D7" s="70"/>
      <c r="E7" s="70"/>
      <c r="F7" s="70"/>
      <c r="G7" s="70"/>
      <c r="H7" s="71"/>
      <c r="I7" s="71"/>
      <c r="J7" s="71"/>
      <c r="K7" s="71"/>
      <c r="L7" s="71"/>
      <c r="M7" s="71"/>
      <c r="N7" s="71"/>
      <c r="O7" s="71"/>
      <c r="P7" s="71"/>
      <c r="Q7" s="71"/>
      <c r="R7" s="71"/>
      <c r="S7" s="71"/>
      <c r="T7" s="71"/>
      <c r="U7" s="71"/>
      <c r="V7" s="71"/>
      <c r="W7" s="71"/>
      <c r="X7" s="71"/>
      <c r="Y7" s="71"/>
      <c r="Z7" s="71"/>
      <c r="AA7" s="71"/>
      <c r="AB7" s="71"/>
    </row>
    <row r="8" spans="2:29" s="78" customFormat="1" ht="109.5" customHeight="1">
      <c r="B8" s="444" t="s">
        <v>133</v>
      </c>
      <c r="C8" s="444" t="s">
        <v>134</v>
      </c>
      <c r="D8" s="74" t="s">
        <v>135</v>
      </c>
      <c r="E8" s="445">
        <v>773873.88</v>
      </c>
      <c r="F8" s="74" t="s">
        <v>174</v>
      </c>
      <c r="G8" s="75">
        <v>99053.14273174427</v>
      </c>
      <c r="H8" s="75">
        <f>111191447864/1000000</f>
        <v>111191.447864</v>
      </c>
      <c r="I8" s="76" t="s">
        <v>824</v>
      </c>
      <c r="J8" s="76">
        <v>450000</v>
      </c>
      <c r="K8" s="76">
        <f>132525000000/1000000</f>
        <v>132525</v>
      </c>
      <c r="L8" s="26">
        <v>128960</v>
      </c>
      <c r="M8" s="76">
        <v>118388</v>
      </c>
      <c r="N8" s="26">
        <v>118388</v>
      </c>
      <c r="O8" s="344">
        <v>0.99</v>
      </c>
      <c r="P8" s="26">
        <v>446845</v>
      </c>
      <c r="Q8" s="26" t="s">
        <v>72</v>
      </c>
      <c r="R8" s="26"/>
      <c r="S8" s="26"/>
      <c r="T8" s="26"/>
      <c r="U8" s="26"/>
      <c r="V8" s="26"/>
      <c r="W8" s="26"/>
      <c r="X8" s="26"/>
      <c r="Y8" s="26"/>
      <c r="Z8" s="247">
        <f>+IF(L8=0,1,(IF(N8=0,M8/L8,N8/L8)))</f>
        <v>0.9180210918114144</v>
      </c>
      <c r="AA8" s="77" t="s">
        <v>78</v>
      </c>
      <c r="AB8" s="77" t="s">
        <v>527</v>
      </c>
      <c r="AC8" s="78">
        <f>IF(N8=0,M8/L8,N8/L8)</f>
        <v>0.9180210918114144</v>
      </c>
    </row>
    <row r="9" spans="2:28" s="78" customFormat="1" ht="108" customHeight="1">
      <c r="B9" s="444"/>
      <c r="C9" s="444"/>
      <c r="D9" s="74" t="s">
        <v>175</v>
      </c>
      <c r="E9" s="445"/>
      <c r="F9" s="74" t="s">
        <v>174</v>
      </c>
      <c r="G9" s="75">
        <v>18283.827778</v>
      </c>
      <c r="H9" s="75">
        <f>26299373027.3134/1000000</f>
        <v>26299.3730273134</v>
      </c>
      <c r="I9" s="76" t="s">
        <v>825</v>
      </c>
      <c r="J9" s="76">
        <v>120000</v>
      </c>
      <c r="K9" s="76">
        <f>41199600000/1000000</f>
        <v>41199.6</v>
      </c>
      <c r="L9" s="26">
        <v>36304</v>
      </c>
      <c r="M9" s="76">
        <v>35641</v>
      </c>
      <c r="N9" s="26">
        <v>35641</v>
      </c>
      <c r="O9" s="344">
        <v>0.93</v>
      </c>
      <c r="P9" s="26">
        <v>112180</v>
      </c>
      <c r="Q9" s="26" t="s">
        <v>73</v>
      </c>
      <c r="R9" s="26"/>
      <c r="S9" s="26"/>
      <c r="T9" s="26"/>
      <c r="U9" s="26"/>
      <c r="V9" s="26"/>
      <c r="W9" s="26"/>
      <c r="X9" s="26"/>
      <c r="Y9" s="26"/>
      <c r="Z9" s="77">
        <f aca="true" t="shared" si="0" ref="Z9:Z20">+IF(L9=0,1,(IF(N9=0,M9/L9,N9/L9)))</f>
        <v>0.9817375495813133</v>
      </c>
      <c r="AA9" s="77" t="s">
        <v>78</v>
      </c>
      <c r="AB9" s="77" t="s">
        <v>527</v>
      </c>
    </row>
    <row r="10" spans="2:28" s="78" customFormat="1" ht="107.25" customHeight="1">
      <c r="B10" s="444" t="s">
        <v>176</v>
      </c>
      <c r="C10" s="444" t="s">
        <v>177</v>
      </c>
      <c r="D10" s="444" t="s">
        <v>178</v>
      </c>
      <c r="E10" s="445">
        <v>306073.95371936104</v>
      </c>
      <c r="F10" s="74" t="s">
        <v>179</v>
      </c>
      <c r="G10" s="75">
        <v>31309.819333</v>
      </c>
      <c r="H10" s="75">
        <f>32215447752/1000000</f>
        <v>32215.447752</v>
      </c>
      <c r="I10" s="76" t="s">
        <v>452</v>
      </c>
      <c r="J10" s="76">
        <v>984206</v>
      </c>
      <c r="K10" s="76">
        <f>50440557500/1000000</f>
        <v>50440.5575</v>
      </c>
      <c r="L10" s="26">
        <v>50997</v>
      </c>
      <c r="M10" s="76">
        <v>16404</v>
      </c>
      <c r="N10" s="26">
        <v>18818</v>
      </c>
      <c r="O10" s="344">
        <v>1.01</v>
      </c>
      <c r="P10" s="26">
        <v>995063</v>
      </c>
      <c r="Q10" s="26" t="s">
        <v>774</v>
      </c>
      <c r="R10" s="26"/>
      <c r="S10" s="26"/>
      <c r="T10" s="26"/>
      <c r="U10" s="26"/>
      <c r="V10" s="26"/>
      <c r="W10" s="26"/>
      <c r="X10" s="26"/>
      <c r="Y10" s="26"/>
      <c r="Z10" s="77">
        <f t="shared" si="0"/>
        <v>0.369002098162637</v>
      </c>
      <c r="AA10" s="77" t="s">
        <v>79</v>
      </c>
      <c r="AB10" s="77" t="s">
        <v>527</v>
      </c>
    </row>
    <row r="11" spans="2:28" s="78" customFormat="1" ht="99">
      <c r="B11" s="444"/>
      <c r="C11" s="444"/>
      <c r="D11" s="444"/>
      <c r="E11" s="445"/>
      <c r="F11" s="74" t="s">
        <v>180</v>
      </c>
      <c r="G11" s="75">
        <v>3756.24</v>
      </c>
      <c r="H11" s="75">
        <f>3783284928/1000000</f>
        <v>3783.284928</v>
      </c>
      <c r="I11" s="76" t="s">
        <v>620</v>
      </c>
      <c r="J11" s="76">
        <v>72315</v>
      </c>
      <c r="K11" s="76">
        <f>4338900000/1000000</f>
        <v>4338.9</v>
      </c>
      <c r="L11" s="26">
        <v>4339</v>
      </c>
      <c r="M11" s="76">
        <v>0</v>
      </c>
      <c r="N11" s="26">
        <v>0</v>
      </c>
      <c r="O11" s="344">
        <v>0</v>
      </c>
      <c r="P11" s="26">
        <v>0</v>
      </c>
      <c r="Q11" s="26" t="s">
        <v>777</v>
      </c>
      <c r="R11" s="26"/>
      <c r="S11" s="26"/>
      <c r="T11" s="26"/>
      <c r="U11" s="26"/>
      <c r="V11" s="26"/>
      <c r="W11" s="26"/>
      <c r="X11" s="26"/>
      <c r="Y11" s="26"/>
      <c r="Z11" s="77">
        <f t="shared" si="0"/>
        <v>0</v>
      </c>
      <c r="AA11" s="77" t="s">
        <v>79</v>
      </c>
      <c r="AB11" s="77" t="s">
        <v>527</v>
      </c>
    </row>
    <row r="12" spans="2:28" s="78" customFormat="1" ht="113.25" customHeight="1">
      <c r="B12" s="444" t="s">
        <v>176</v>
      </c>
      <c r="C12" s="444" t="s">
        <v>181</v>
      </c>
      <c r="D12" s="73" t="s">
        <v>182</v>
      </c>
      <c r="E12" s="445">
        <v>230619.6192</v>
      </c>
      <c r="F12" s="74" t="s">
        <v>183</v>
      </c>
      <c r="G12" s="75">
        <v>36365</v>
      </c>
      <c r="H12" s="75">
        <f>33960496136/1000000</f>
        <v>33960.496136</v>
      </c>
      <c r="I12" s="76" t="s">
        <v>453</v>
      </c>
      <c r="J12" s="76">
        <v>37325</v>
      </c>
      <c r="K12" s="76">
        <f>41132150000/1000000</f>
        <v>41132.15</v>
      </c>
      <c r="L12" s="26">
        <v>46489</v>
      </c>
      <c r="M12" s="76">
        <v>44849</v>
      </c>
      <c r="N12" s="26">
        <v>44849</v>
      </c>
      <c r="O12" s="344">
        <v>1.03</v>
      </c>
      <c r="P12" s="26">
        <v>38525</v>
      </c>
      <c r="Q12" s="26" t="s">
        <v>74</v>
      </c>
      <c r="R12" s="26"/>
      <c r="S12" s="26"/>
      <c r="T12" s="26"/>
      <c r="U12" s="26"/>
      <c r="V12" s="26"/>
      <c r="W12" s="26"/>
      <c r="X12" s="26"/>
      <c r="Y12" s="26"/>
      <c r="Z12" s="77">
        <f t="shared" si="0"/>
        <v>0.9647228376605218</v>
      </c>
      <c r="AA12" s="77" t="s">
        <v>80</v>
      </c>
      <c r="AB12" s="77" t="s">
        <v>527</v>
      </c>
    </row>
    <row r="13" spans="2:28" s="78" customFormat="1" ht="99">
      <c r="B13" s="444"/>
      <c r="C13" s="444"/>
      <c r="D13" s="73" t="s">
        <v>184</v>
      </c>
      <c r="E13" s="445"/>
      <c r="F13" s="74" t="s">
        <v>183</v>
      </c>
      <c r="G13" s="75">
        <v>4476.08</v>
      </c>
      <c r="H13" s="75">
        <f>7760516367/1000000</f>
        <v>7760.516367</v>
      </c>
      <c r="I13" s="76" t="s">
        <v>621</v>
      </c>
      <c r="J13" s="76">
        <v>5769</v>
      </c>
      <c r="K13" s="76">
        <f>2059648380/1000000</f>
        <v>2059.64838</v>
      </c>
      <c r="L13" s="26">
        <v>2060</v>
      </c>
      <c r="M13" s="76">
        <v>0</v>
      </c>
      <c r="N13" s="26">
        <v>1597</v>
      </c>
      <c r="O13" s="344">
        <v>2.04</v>
      </c>
      <c r="P13" s="26">
        <v>11789</v>
      </c>
      <c r="Q13" s="26" t="s">
        <v>75</v>
      </c>
      <c r="R13" s="26"/>
      <c r="S13" s="26"/>
      <c r="T13" s="26"/>
      <c r="U13" s="26"/>
      <c r="V13" s="26"/>
      <c r="W13" s="26"/>
      <c r="X13" s="26"/>
      <c r="Y13" s="26"/>
      <c r="Z13" s="77">
        <f t="shared" si="0"/>
        <v>0.775242718446602</v>
      </c>
      <c r="AA13" s="77" t="s">
        <v>80</v>
      </c>
      <c r="AB13" s="77" t="s">
        <v>527</v>
      </c>
    </row>
    <row r="14" spans="2:28" s="78" customFormat="1" ht="99">
      <c r="B14" s="444"/>
      <c r="C14" s="444"/>
      <c r="D14" s="73" t="s">
        <v>185</v>
      </c>
      <c r="E14" s="445"/>
      <c r="F14" s="74" t="s">
        <v>183</v>
      </c>
      <c r="G14" s="75">
        <v>3519.3</v>
      </c>
      <c r="H14" s="75">
        <f>3900966879/1000000</f>
        <v>3900.966879</v>
      </c>
      <c r="I14" s="76" t="s">
        <v>454</v>
      </c>
      <c r="J14" s="76">
        <v>10925</v>
      </c>
      <c r="K14" s="76">
        <f>7457678125/1000000</f>
        <v>7457.678125</v>
      </c>
      <c r="L14" s="26">
        <v>7458</v>
      </c>
      <c r="M14" s="76">
        <v>0</v>
      </c>
      <c r="N14" s="26">
        <v>3795</v>
      </c>
      <c r="O14" s="344">
        <v>0.98</v>
      </c>
      <c r="P14" s="26">
        <v>10748</v>
      </c>
      <c r="Q14" s="26" t="s">
        <v>76</v>
      </c>
      <c r="R14" s="26"/>
      <c r="S14" s="26"/>
      <c r="T14" s="26"/>
      <c r="U14" s="26"/>
      <c r="V14" s="26"/>
      <c r="W14" s="26"/>
      <c r="X14" s="26"/>
      <c r="Y14" s="26"/>
      <c r="Z14" s="77">
        <f t="shared" si="0"/>
        <v>0.5088495575221239</v>
      </c>
      <c r="AA14" s="77" t="s">
        <v>80</v>
      </c>
      <c r="AB14" s="77" t="s">
        <v>527</v>
      </c>
    </row>
    <row r="15" spans="2:28" s="78" customFormat="1" ht="113.25" customHeight="1">
      <c r="B15" s="452" t="s">
        <v>176</v>
      </c>
      <c r="C15" s="444" t="s">
        <v>186</v>
      </c>
      <c r="D15" s="452" t="s">
        <v>187</v>
      </c>
      <c r="E15" s="445">
        <v>986440.346814596</v>
      </c>
      <c r="F15" s="74" t="s">
        <v>188</v>
      </c>
      <c r="G15" s="75">
        <v>137199.94806</v>
      </c>
      <c r="H15" s="75">
        <f>130406473473/1000000</f>
        <v>130406.473473</v>
      </c>
      <c r="I15" s="76" t="s">
        <v>189</v>
      </c>
      <c r="J15" s="76">
        <v>135741</v>
      </c>
      <c r="K15" s="76">
        <f>129719800722/1000000</f>
        <v>129719.800722</v>
      </c>
      <c r="L15" s="26">
        <v>129143</v>
      </c>
      <c r="M15" s="76">
        <v>120198</v>
      </c>
      <c r="N15" s="26">
        <v>120198</v>
      </c>
      <c r="O15" s="344">
        <v>1</v>
      </c>
      <c r="P15" s="26">
        <v>135137</v>
      </c>
      <c r="Q15" s="26" t="s">
        <v>788</v>
      </c>
      <c r="R15" s="26"/>
      <c r="S15" s="26"/>
      <c r="T15" s="26"/>
      <c r="U15" s="26"/>
      <c r="V15" s="26"/>
      <c r="W15" s="26"/>
      <c r="X15" s="26"/>
      <c r="Y15" s="26"/>
      <c r="Z15" s="77">
        <f t="shared" si="0"/>
        <v>0.9307356960888318</v>
      </c>
      <c r="AA15" s="77" t="s">
        <v>79</v>
      </c>
      <c r="AB15" s="77" t="s">
        <v>527</v>
      </c>
    </row>
    <row r="16" spans="2:28" s="78" customFormat="1" ht="99">
      <c r="B16" s="452"/>
      <c r="C16" s="444"/>
      <c r="D16" s="452"/>
      <c r="E16" s="445"/>
      <c r="F16" s="74" t="s">
        <v>190</v>
      </c>
      <c r="G16" s="75">
        <v>57009.259405</v>
      </c>
      <c r="H16" s="75">
        <f>67320291410/1000000</f>
        <v>67320.29141</v>
      </c>
      <c r="I16" s="76" t="s">
        <v>191</v>
      </c>
      <c r="J16" s="76">
        <v>39307</v>
      </c>
      <c r="K16" s="76">
        <f>60867046728/1000000</f>
        <v>60867.046728</v>
      </c>
      <c r="L16" s="26">
        <v>61720</v>
      </c>
      <c r="M16" s="76">
        <v>61401</v>
      </c>
      <c r="N16" s="26">
        <v>61401</v>
      </c>
      <c r="O16" s="344">
        <v>1.01</v>
      </c>
      <c r="P16" s="26">
        <v>39858</v>
      </c>
      <c r="Q16" s="26" t="s">
        <v>791</v>
      </c>
      <c r="R16" s="26"/>
      <c r="S16" s="26"/>
      <c r="T16" s="26"/>
      <c r="U16" s="26"/>
      <c r="V16" s="26"/>
      <c r="W16" s="26"/>
      <c r="X16" s="26"/>
      <c r="Y16" s="26"/>
      <c r="Z16" s="77">
        <f t="shared" si="0"/>
        <v>0.9948314970836034</v>
      </c>
      <c r="AA16" s="77" t="s">
        <v>79</v>
      </c>
      <c r="AB16" s="77" t="s">
        <v>527</v>
      </c>
    </row>
    <row r="17" spans="2:28" s="78" customFormat="1" ht="115.5">
      <c r="B17" s="74" t="s">
        <v>192</v>
      </c>
      <c r="C17" s="74" t="s">
        <v>193</v>
      </c>
      <c r="D17" s="74" t="s">
        <v>194</v>
      </c>
      <c r="E17" s="75">
        <v>107985.986487</v>
      </c>
      <c r="F17" s="74" t="s">
        <v>875</v>
      </c>
      <c r="G17" s="75">
        <v>9585.988677</v>
      </c>
      <c r="H17" s="75">
        <f>9644503818/1000000</f>
        <v>9644.503818</v>
      </c>
      <c r="I17" s="76" t="s">
        <v>876</v>
      </c>
      <c r="J17" s="76">
        <v>984206</v>
      </c>
      <c r="K17" s="76">
        <f>11382374432.0607/1000000</f>
        <v>11382.3744320607</v>
      </c>
      <c r="L17" s="26">
        <v>11508</v>
      </c>
      <c r="M17" s="76">
        <v>7008</v>
      </c>
      <c r="N17" s="26">
        <v>7294</v>
      </c>
      <c r="O17" s="344">
        <v>1.01</v>
      </c>
      <c r="P17" s="26">
        <v>995063</v>
      </c>
      <c r="Q17" s="26" t="s">
        <v>774</v>
      </c>
      <c r="R17" s="26"/>
      <c r="S17" s="26"/>
      <c r="T17" s="26"/>
      <c r="U17" s="26"/>
      <c r="V17" s="26"/>
      <c r="W17" s="26"/>
      <c r="X17" s="26"/>
      <c r="Y17" s="26"/>
      <c r="Z17" s="77">
        <f t="shared" si="0"/>
        <v>0.6338199513381995</v>
      </c>
      <c r="AA17" s="77" t="s">
        <v>81</v>
      </c>
      <c r="AB17" s="77" t="s">
        <v>527</v>
      </c>
    </row>
    <row r="18" spans="2:28" s="78" customFormat="1" ht="115.5">
      <c r="B18" s="74" t="s">
        <v>877</v>
      </c>
      <c r="C18" s="76" t="s">
        <v>878</v>
      </c>
      <c r="D18" s="76" t="s">
        <v>879</v>
      </c>
      <c r="E18" s="75">
        <v>7325.68</v>
      </c>
      <c r="F18" s="74" t="s">
        <v>567</v>
      </c>
      <c r="G18" s="75">
        <v>637.281</v>
      </c>
      <c r="H18" s="75">
        <f>639056184/1000000</f>
        <v>639.056184</v>
      </c>
      <c r="I18" s="76" t="s">
        <v>568</v>
      </c>
      <c r="J18" s="76">
        <v>17500</v>
      </c>
      <c r="K18" s="76">
        <f>1634522798.0742/1000000</f>
        <v>1634.5227980742</v>
      </c>
      <c r="L18" s="26">
        <v>1635</v>
      </c>
      <c r="M18" s="76">
        <v>251</v>
      </c>
      <c r="N18" s="26">
        <v>345</v>
      </c>
      <c r="O18" s="344">
        <v>0.93</v>
      </c>
      <c r="P18" s="26">
        <v>16313</v>
      </c>
      <c r="Q18" s="26" t="s">
        <v>77</v>
      </c>
      <c r="R18" s="26"/>
      <c r="S18" s="26"/>
      <c r="T18" s="26"/>
      <c r="U18" s="26"/>
      <c r="V18" s="26"/>
      <c r="W18" s="26"/>
      <c r="X18" s="26"/>
      <c r="Y18" s="26"/>
      <c r="Z18" s="77">
        <f t="shared" si="0"/>
        <v>0.21100917431192662</v>
      </c>
      <c r="AA18" s="77" t="s">
        <v>82</v>
      </c>
      <c r="AB18" s="77" t="s">
        <v>527</v>
      </c>
    </row>
    <row r="19" spans="2:28" s="78" customFormat="1" ht="173.25" customHeight="1">
      <c r="B19" s="74" t="s">
        <v>569</v>
      </c>
      <c r="C19" s="74" t="s">
        <v>570</v>
      </c>
      <c r="D19" s="74" t="s">
        <v>571</v>
      </c>
      <c r="E19" s="75">
        <v>7000</v>
      </c>
      <c r="F19" s="74" t="s">
        <v>401</v>
      </c>
      <c r="G19" s="75">
        <v>2278.517568</v>
      </c>
      <c r="H19" s="75">
        <f>2255225566/1000000</f>
        <v>2255.225566</v>
      </c>
      <c r="I19" s="76" t="s">
        <v>876</v>
      </c>
      <c r="J19" s="76">
        <v>984206</v>
      </c>
      <c r="K19" s="76">
        <f>2896967160.60372/1000000</f>
        <v>2896.96716060372</v>
      </c>
      <c r="L19" s="26">
        <v>13819</v>
      </c>
      <c r="M19" s="76">
        <v>9917</v>
      </c>
      <c r="N19" s="26">
        <v>9985</v>
      </c>
      <c r="O19" s="344">
        <v>1.01</v>
      </c>
      <c r="P19" s="26">
        <v>995063</v>
      </c>
      <c r="Q19" s="26" t="s">
        <v>774</v>
      </c>
      <c r="R19" s="26"/>
      <c r="S19" s="26"/>
      <c r="T19" s="26"/>
      <c r="U19" s="26"/>
      <c r="V19" s="26"/>
      <c r="W19" s="26"/>
      <c r="X19" s="26"/>
      <c r="Y19" s="26"/>
      <c r="Z19" s="77">
        <f t="shared" si="0"/>
        <v>0.722555901295318</v>
      </c>
      <c r="AA19" s="77" t="s">
        <v>83</v>
      </c>
      <c r="AB19" s="77" t="s">
        <v>527</v>
      </c>
    </row>
    <row r="20" spans="2:28" s="78" customFormat="1" ht="213" customHeight="1">
      <c r="B20" s="76" t="s">
        <v>402</v>
      </c>
      <c r="C20" s="76"/>
      <c r="D20" s="76" t="s">
        <v>403</v>
      </c>
      <c r="E20" s="75">
        <f>8680993-SUM(E8:E19)</f>
        <v>6261673.533779043</v>
      </c>
      <c r="F20" s="76" t="s">
        <v>403</v>
      </c>
      <c r="G20" s="75">
        <v>1182010.451026</v>
      </c>
      <c r="H20" s="75">
        <f>1184175386816/1000000</f>
        <v>1184175.386816</v>
      </c>
      <c r="I20" s="76" t="s">
        <v>876</v>
      </c>
      <c r="J20" s="76">
        <v>984206</v>
      </c>
      <c r="K20" s="76">
        <f>1287309576329.45/1000000</f>
        <v>1287309.57632945</v>
      </c>
      <c r="L20" s="26">
        <v>1343054</v>
      </c>
      <c r="M20" s="76">
        <v>490215</v>
      </c>
      <c r="N20" s="26">
        <v>758399</v>
      </c>
      <c r="O20" s="344">
        <v>0.83</v>
      </c>
      <c r="P20" s="26">
        <v>820068</v>
      </c>
      <c r="Q20" s="26" t="s">
        <v>802</v>
      </c>
      <c r="R20" s="26"/>
      <c r="S20" s="26"/>
      <c r="T20" s="26"/>
      <c r="U20" s="26"/>
      <c r="V20" s="26"/>
      <c r="W20" s="26"/>
      <c r="X20" s="26"/>
      <c r="Y20" s="26"/>
      <c r="Z20" s="77">
        <f t="shared" si="0"/>
        <v>0.564682432724224</v>
      </c>
      <c r="AA20" s="77" t="s">
        <v>84</v>
      </c>
      <c r="AB20" s="77" t="s">
        <v>527</v>
      </c>
    </row>
    <row r="21" spans="2:28" s="83" customFormat="1" ht="22.5" customHeight="1">
      <c r="B21" s="458" t="s">
        <v>404</v>
      </c>
      <c r="C21" s="459"/>
      <c r="D21" s="460"/>
      <c r="E21" s="60">
        <f>SUM(E8:E20)</f>
        <v>8680993</v>
      </c>
      <c r="F21" s="80"/>
      <c r="G21" s="60">
        <f>SUM(G8:G20)</f>
        <v>1585484.8555787443</v>
      </c>
      <c r="H21" s="81">
        <f>SUM(H8:H20)</f>
        <v>1613552.4702203134</v>
      </c>
      <c r="I21" s="82"/>
      <c r="J21" s="82"/>
      <c r="K21" s="81">
        <f aca="true" t="shared" si="1" ref="K21:V21">SUM(K8:K20)</f>
        <v>1772963.8221751885</v>
      </c>
      <c r="L21" s="81">
        <f t="shared" si="1"/>
        <v>1837486</v>
      </c>
      <c r="M21" s="81">
        <f t="shared" si="1"/>
        <v>904272</v>
      </c>
      <c r="N21" s="81">
        <f t="shared" si="1"/>
        <v>1180710</v>
      </c>
      <c r="O21" s="81"/>
      <c r="P21" s="82"/>
      <c r="Q21" s="82"/>
      <c r="R21" s="81">
        <f t="shared" si="1"/>
        <v>0</v>
      </c>
      <c r="S21" s="81"/>
      <c r="T21" s="82"/>
      <c r="U21" s="82"/>
      <c r="V21" s="81">
        <f t="shared" si="1"/>
        <v>0</v>
      </c>
      <c r="W21" s="81"/>
      <c r="X21" s="82"/>
      <c r="Y21" s="82"/>
      <c r="Z21" s="248">
        <f>+IF(L21=0,1,(IF(N21=0,M21/L21,N21/L21)))</f>
        <v>0.6425681610635401</v>
      </c>
      <c r="AA21" s="248"/>
      <c r="AB21" s="248"/>
    </row>
    <row r="22" spans="2:28" ht="24.75" customHeight="1">
      <c r="B22" s="67" t="s">
        <v>405</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row>
    <row r="23" spans="2:28" s="83" customFormat="1" ht="17.25" customHeight="1">
      <c r="B23" s="69" t="s">
        <v>691</v>
      </c>
      <c r="C23" s="70"/>
      <c r="D23" s="70"/>
      <c r="E23" s="70"/>
      <c r="F23" s="70"/>
      <c r="G23" s="70"/>
      <c r="H23" s="70"/>
      <c r="I23" s="70"/>
      <c r="J23" s="70"/>
      <c r="K23" s="70"/>
      <c r="L23" s="70"/>
      <c r="M23" s="70"/>
      <c r="N23" s="70"/>
      <c r="O23" s="70"/>
      <c r="P23" s="70"/>
      <c r="Q23" s="70"/>
      <c r="R23" s="70"/>
      <c r="S23" s="70"/>
      <c r="T23" s="70"/>
      <c r="U23" s="70"/>
      <c r="V23" s="70"/>
      <c r="W23" s="70"/>
      <c r="X23" s="70"/>
      <c r="Y23" s="70"/>
      <c r="Z23" s="249"/>
      <c r="AA23" s="249"/>
      <c r="AB23" s="249"/>
    </row>
    <row r="24" spans="2:28" s="85" customFormat="1" ht="155.25" customHeight="1">
      <c r="B24" s="84" t="s">
        <v>877</v>
      </c>
      <c r="C24" s="84" t="s">
        <v>692</v>
      </c>
      <c r="D24" s="76" t="s">
        <v>693</v>
      </c>
      <c r="E24" s="75">
        <v>2592</v>
      </c>
      <c r="F24" s="76" t="s">
        <v>694</v>
      </c>
      <c r="G24" s="75">
        <f>381001847/1000000</f>
        <v>381.001847</v>
      </c>
      <c r="H24" s="75">
        <v>379</v>
      </c>
      <c r="I24" s="79" t="s">
        <v>552</v>
      </c>
      <c r="J24" s="79" t="s">
        <v>495</v>
      </c>
      <c r="K24" s="75">
        <f>72000000/1000000</f>
        <v>72</v>
      </c>
      <c r="L24" s="29">
        <v>116</v>
      </c>
      <c r="M24" s="75">
        <v>107</v>
      </c>
      <c r="N24" s="29">
        <v>107</v>
      </c>
      <c r="O24" s="345">
        <v>1</v>
      </c>
      <c r="P24" s="45" t="s">
        <v>262</v>
      </c>
      <c r="Q24" s="28" t="s">
        <v>263</v>
      </c>
      <c r="R24" s="29"/>
      <c r="S24" s="29"/>
      <c r="T24" s="45"/>
      <c r="U24" s="28"/>
      <c r="V24" s="29"/>
      <c r="W24" s="29"/>
      <c r="X24" s="45"/>
      <c r="Y24" s="28"/>
      <c r="Z24" s="247">
        <f>+IF(L24=0,1,(IF(N24=0,M24/L24,N24/L24)))</f>
        <v>0.9224137931034483</v>
      </c>
      <c r="AA24" s="77" t="s">
        <v>394</v>
      </c>
      <c r="AB24" s="77" t="s">
        <v>395</v>
      </c>
    </row>
    <row r="25" spans="2:28" s="85" customFormat="1" ht="367.5" customHeight="1">
      <c r="B25" s="84" t="s">
        <v>877</v>
      </c>
      <c r="C25" s="84" t="s">
        <v>692</v>
      </c>
      <c r="D25" s="76" t="s">
        <v>579</v>
      </c>
      <c r="E25" s="75">
        <v>45298.85298962568</v>
      </c>
      <c r="F25" s="76" t="s">
        <v>694</v>
      </c>
      <c r="G25" s="75">
        <f>5825565859/1000000</f>
        <v>5825.565859</v>
      </c>
      <c r="H25" s="75">
        <v>5621</v>
      </c>
      <c r="I25" s="84" t="s">
        <v>565</v>
      </c>
      <c r="J25" s="79" t="s">
        <v>496</v>
      </c>
      <c r="K25" s="75">
        <f>4121904877/1000000</f>
        <v>4121.904877</v>
      </c>
      <c r="L25" s="29">
        <v>3514</v>
      </c>
      <c r="M25" s="75">
        <v>2315</v>
      </c>
      <c r="N25" s="30">
        <v>2420</v>
      </c>
      <c r="O25" s="345" t="s">
        <v>85</v>
      </c>
      <c r="P25" s="45" t="s">
        <v>264</v>
      </c>
      <c r="Q25" s="45" t="s">
        <v>265</v>
      </c>
      <c r="R25" s="30"/>
      <c r="S25" s="30"/>
      <c r="T25" s="45"/>
      <c r="U25" s="45"/>
      <c r="V25" s="30"/>
      <c r="W25" s="30"/>
      <c r="X25" s="45"/>
      <c r="Y25" s="45"/>
      <c r="Z25" s="77">
        <f>+IF(L25=0,1,(IF(N25=0,M25/L25,N25/L25)))</f>
        <v>0.688673875924872</v>
      </c>
      <c r="AA25" s="77" t="s">
        <v>394</v>
      </c>
      <c r="AB25" s="77" t="s">
        <v>395</v>
      </c>
    </row>
    <row r="26" spans="2:28" s="85" customFormat="1" ht="136.5" customHeight="1">
      <c r="B26" s="84" t="s">
        <v>877</v>
      </c>
      <c r="C26" s="84" t="s">
        <v>692</v>
      </c>
      <c r="D26" s="76" t="s">
        <v>699</v>
      </c>
      <c r="E26" s="75">
        <v>8673.371783657456</v>
      </c>
      <c r="F26" s="76" t="s">
        <v>694</v>
      </c>
      <c r="G26" s="75">
        <f>812832870/1000000</f>
        <v>812.83287</v>
      </c>
      <c r="H26" s="86">
        <v>1326</v>
      </c>
      <c r="I26" s="87" t="s">
        <v>566</v>
      </c>
      <c r="J26" s="87" t="s">
        <v>700</v>
      </c>
      <c r="K26" s="86">
        <f>731307096/1000000</f>
        <v>731.307096</v>
      </c>
      <c r="L26" s="44">
        <v>1065</v>
      </c>
      <c r="M26" s="75">
        <v>514</v>
      </c>
      <c r="N26" s="30">
        <v>528</v>
      </c>
      <c r="O26" s="345">
        <v>0.9571</v>
      </c>
      <c r="P26" s="45" t="s">
        <v>266</v>
      </c>
      <c r="Q26" s="45" t="s">
        <v>267</v>
      </c>
      <c r="R26" s="30"/>
      <c r="S26" s="30"/>
      <c r="T26" s="45"/>
      <c r="U26" s="45"/>
      <c r="V26" s="30"/>
      <c r="W26" s="30"/>
      <c r="X26" s="45"/>
      <c r="Y26" s="45"/>
      <c r="Z26" s="77">
        <f aca="true" t="shared" si="2" ref="Z26:Z54">+IF(L26=0,1,(IF(N26=0,M26/L26,N26/L26)))</f>
        <v>0.49577464788732395</v>
      </c>
      <c r="AA26" s="77" t="s">
        <v>394</v>
      </c>
      <c r="AB26" s="77" t="s">
        <v>395</v>
      </c>
    </row>
    <row r="27" spans="2:28" s="94" customFormat="1" ht="99">
      <c r="B27" s="88" t="s">
        <v>877</v>
      </c>
      <c r="C27" s="88" t="s">
        <v>673</v>
      </c>
      <c r="D27" s="89" t="s">
        <v>674</v>
      </c>
      <c r="E27" s="90">
        <v>131.218871</v>
      </c>
      <c r="F27" s="91" t="s">
        <v>673</v>
      </c>
      <c r="G27" s="75">
        <f>343028109/1000000</f>
        <v>343.028109</v>
      </c>
      <c r="H27" s="75">
        <f>582909582/1000000</f>
        <v>582.909582</v>
      </c>
      <c r="I27" s="92" t="s">
        <v>675</v>
      </c>
      <c r="J27" s="92" t="s">
        <v>1060</v>
      </c>
      <c r="K27" s="226">
        <v>0</v>
      </c>
      <c r="L27" s="226">
        <v>366</v>
      </c>
      <c r="M27" s="241">
        <f>365701520/1000000</f>
        <v>365.70152</v>
      </c>
      <c r="N27" s="226">
        <v>366</v>
      </c>
      <c r="O27" s="346">
        <v>0.64</v>
      </c>
      <c r="P27" s="45" t="s">
        <v>268</v>
      </c>
      <c r="Q27" s="227" t="s">
        <v>269</v>
      </c>
      <c r="R27" s="226"/>
      <c r="S27" s="226"/>
      <c r="T27" s="45"/>
      <c r="U27" s="227"/>
      <c r="V27" s="226"/>
      <c r="W27" s="226"/>
      <c r="X27" s="45"/>
      <c r="Y27" s="227"/>
      <c r="Z27" s="77">
        <f t="shared" si="2"/>
        <v>1</v>
      </c>
      <c r="AA27" s="77" t="s">
        <v>396</v>
      </c>
      <c r="AB27" s="77" t="s">
        <v>395</v>
      </c>
    </row>
    <row r="28" spans="2:28" s="85" customFormat="1" ht="132">
      <c r="B28" s="88" t="s">
        <v>877</v>
      </c>
      <c r="C28" s="88" t="s">
        <v>673</v>
      </c>
      <c r="D28" s="89" t="s">
        <v>676</v>
      </c>
      <c r="E28" s="90">
        <f>55325+1706.95</f>
        <v>57031.95</v>
      </c>
      <c r="F28" s="91" t="s">
        <v>673</v>
      </c>
      <c r="G28" s="75">
        <f>9015405294/1000000</f>
        <v>9015.405294</v>
      </c>
      <c r="H28" s="75">
        <v>7502.431383</v>
      </c>
      <c r="I28" s="95" t="s">
        <v>531</v>
      </c>
      <c r="J28" s="76" t="s">
        <v>1063</v>
      </c>
      <c r="K28" s="76">
        <f>10326609843.6/1000000</f>
        <v>10326.609843600001</v>
      </c>
      <c r="L28" s="26">
        <v>7804</v>
      </c>
      <c r="M28" s="241">
        <v>7150</v>
      </c>
      <c r="N28" s="226">
        <f>7415035680/1000000</f>
        <v>7415.03568</v>
      </c>
      <c r="O28" s="346">
        <v>0.8137</v>
      </c>
      <c r="P28" s="45" t="s">
        <v>270</v>
      </c>
      <c r="Q28" s="45" t="s">
        <v>271</v>
      </c>
      <c r="R28" s="226"/>
      <c r="S28" s="226"/>
      <c r="T28" s="45"/>
      <c r="U28" s="45"/>
      <c r="V28" s="226"/>
      <c r="W28" s="226"/>
      <c r="X28" s="45"/>
      <c r="Y28" s="45"/>
      <c r="Z28" s="77">
        <f t="shared" si="2"/>
        <v>0.9501583393131727</v>
      </c>
      <c r="AA28" s="77" t="s">
        <v>397</v>
      </c>
      <c r="AB28" s="77" t="s">
        <v>395</v>
      </c>
    </row>
    <row r="29" spans="2:28" s="85" customFormat="1" ht="117" customHeight="1">
      <c r="B29" s="88" t="s">
        <v>877</v>
      </c>
      <c r="C29" s="88" t="s">
        <v>673</v>
      </c>
      <c r="D29" s="89" t="s">
        <v>677</v>
      </c>
      <c r="E29" s="90">
        <f>16108.212474+223</f>
        <v>16331.212474</v>
      </c>
      <c r="F29" s="91" t="s">
        <v>673</v>
      </c>
      <c r="G29" s="75">
        <f>2899250824/1000000</f>
        <v>2899.250824</v>
      </c>
      <c r="H29" s="75">
        <v>6428.85153</v>
      </c>
      <c r="I29" s="89" t="s">
        <v>532</v>
      </c>
      <c r="J29" s="89" t="s">
        <v>1064</v>
      </c>
      <c r="K29" s="76">
        <f>9835525721/1000000</f>
        <v>9835.525721</v>
      </c>
      <c r="L29" s="26">
        <v>7427</v>
      </c>
      <c r="M29" s="241">
        <f>4753627712/1000000</f>
        <v>4753.627712</v>
      </c>
      <c r="N29" s="226">
        <f>6833748574/1000000</f>
        <v>6833.748574</v>
      </c>
      <c r="O29" s="346">
        <v>0.9749</v>
      </c>
      <c r="P29" s="45" t="s">
        <v>272</v>
      </c>
      <c r="Q29" s="45" t="s">
        <v>273</v>
      </c>
      <c r="R29" s="226"/>
      <c r="S29" s="226"/>
      <c r="T29" s="45"/>
      <c r="U29" s="45"/>
      <c r="V29" s="226"/>
      <c r="W29" s="226"/>
      <c r="X29" s="45"/>
      <c r="Y29" s="45"/>
      <c r="Z29" s="77">
        <f t="shared" si="2"/>
        <v>0.9201223339167901</v>
      </c>
      <c r="AA29" s="77" t="s">
        <v>397</v>
      </c>
      <c r="AB29" s="77" t="s">
        <v>395</v>
      </c>
    </row>
    <row r="30" spans="2:28" s="85" customFormat="1" ht="104.25" customHeight="1">
      <c r="B30" s="88" t="s">
        <v>877</v>
      </c>
      <c r="C30" s="88" t="s">
        <v>673</v>
      </c>
      <c r="D30" s="89" t="s">
        <v>678</v>
      </c>
      <c r="E30" s="90">
        <f>32508+1706.95</f>
        <v>34214.95</v>
      </c>
      <c r="F30" s="91" t="s">
        <v>673</v>
      </c>
      <c r="G30" s="75">
        <f>9079679014/1000000</f>
        <v>9079.679014</v>
      </c>
      <c r="H30" s="75">
        <v>9247.978533</v>
      </c>
      <c r="I30" s="95" t="s">
        <v>120</v>
      </c>
      <c r="J30" s="95" t="s">
        <v>497</v>
      </c>
      <c r="K30" s="226">
        <f>(10680115511+3367056023)/1000000</f>
        <v>14047.171534</v>
      </c>
      <c r="L30" s="226">
        <v>12454</v>
      </c>
      <c r="M30" s="241">
        <v>9097</v>
      </c>
      <c r="N30" s="226">
        <f>9116169188/1000000</f>
        <v>9116.169188</v>
      </c>
      <c r="O30" s="346">
        <v>0.4127</v>
      </c>
      <c r="P30" s="45" t="s">
        <v>274</v>
      </c>
      <c r="Q30" s="45" t="s">
        <v>275</v>
      </c>
      <c r="R30" s="226"/>
      <c r="S30" s="226"/>
      <c r="T30" s="45"/>
      <c r="U30" s="45"/>
      <c r="V30" s="226"/>
      <c r="W30" s="226"/>
      <c r="X30" s="45"/>
      <c r="Y30" s="45"/>
      <c r="Z30" s="77">
        <f t="shared" si="2"/>
        <v>0.731987248113056</v>
      </c>
      <c r="AA30" s="77" t="s">
        <v>397</v>
      </c>
      <c r="AB30" s="77" t="s">
        <v>395</v>
      </c>
    </row>
    <row r="31" spans="2:28" s="85" customFormat="1" ht="176.25" customHeight="1">
      <c r="B31" s="88" t="s">
        <v>877</v>
      </c>
      <c r="C31" s="88" t="s">
        <v>673</v>
      </c>
      <c r="D31" s="74" t="s">
        <v>679</v>
      </c>
      <c r="E31" s="90">
        <v>40</v>
      </c>
      <c r="F31" s="91" t="s">
        <v>673</v>
      </c>
      <c r="G31" s="75">
        <v>0</v>
      </c>
      <c r="H31" s="75">
        <v>161.7</v>
      </c>
      <c r="I31" s="96" t="s">
        <v>121</v>
      </c>
      <c r="J31" s="73" t="s">
        <v>1062</v>
      </c>
      <c r="K31" s="96">
        <v>0</v>
      </c>
      <c r="L31" s="42">
        <v>76</v>
      </c>
      <c r="M31" s="96">
        <v>76</v>
      </c>
      <c r="N31" s="42">
        <v>76</v>
      </c>
      <c r="O31" s="345">
        <v>0.82</v>
      </c>
      <c r="P31" s="227" t="s">
        <v>276</v>
      </c>
      <c r="Q31" s="45" t="s">
        <v>277</v>
      </c>
      <c r="R31" s="42"/>
      <c r="S31" s="42"/>
      <c r="T31" s="227"/>
      <c r="U31" s="42"/>
      <c r="V31" s="42"/>
      <c r="W31" s="42"/>
      <c r="X31" s="227"/>
      <c r="Y31" s="42"/>
      <c r="Z31" s="77">
        <f t="shared" si="2"/>
        <v>1</v>
      </c>
      <c r="AA31" s="77" t="s">
        <v>396</v>
      </c>
      <c r="AB31" s="77" t="s">
        <v>395</v>
      </c>
    </row>
    <row r="32" spans="2:28" s="85" customFormat="1" ht="148.5">
      <c r="B32" s="88" t="s">
        <v>877</v>
      </c>
      <c r="C32" s="88" t="s">
        <v>673</v>
      </c>
      <c r="D32" s="74" t="s">
        <v>681</v>
      </c>
      <c r="E32" s="90">
        <v>2317.937678</v>
      </c>
      <c r="F32" s="91" t="s">
        <v>673</v>
      </c>
      <c r="G32" s="75">
        <f>207856002/1000000</f>
        <v>207.856002</v>
      </c>
      <c r="H32" s="75">
        <v>292.4707</v>
      </c>
      <c r="I32" s="89" t="s">
        <v>682</v>
      </c>
      <c r="J32" s="89" t="s">
        <v>499</v>
      </c>
      <c r="K32" s="76">
        <f>110587680/1000000</f>
        <v>110.58768</v>
      </c>
      <c r="L32" s="26">
        <v>49</v>
      </c>
      <c r="M32" s="96">
        <v>0</v>
      </c>
      <c r="N32" s="42">
        <v>49</v>
      </c>
      <c r="O32" s="345">
        <v>0.33</v>
      </c>
      <c r="P32" s="227" t="s">
        <v>278</v>
      </c>
      <c r="Q32" s="31" t="s">
        <v>279</v>
      </c>
      <c r="R32" s="42"/>
      <c r="S32" s="42"/>
      <c r="T32" s="227"/>
      <c r="U32" s="31"/>
      <c r="V32" s="42"/>
      <c r="W32" s="42"/>
      <c r="X32" s="227"/>
      <c r="Y32" s="31"/>
      <c r="Z32" s="77">
        <f t="shared" si="2"/>
        <v>1</v>
      </c>
      <c r="AA32" s="77" t="s">
        <v>396</v>
      </c>
      <c r="AB32" s="77" t="s">
        <v>395</v>
      </c>
    </row>
    <row r="33" spans="2:28" s="85" customFormat="1" ht="148.5">
      <c r="B33" s="88" t="s">
        <v>877</v>
      </c>
      <c r="C33" s="88" t="s">
        <v>673</v>
      </c>
      <c r="D33" s="74" t="s">
        <v>683</v>
      </c>
      <c r="E33" s="90">
        <v>8053.722961</v>
      </c>
      <c r="F33" s="91" t="s">
        <v>673</v>
      </c>
      <c r="G33" s="75">
        <f>420826513/1000000</f>
        <v>420.826513</v>
      </c>
      <c r="H33" s="75">
        <v>319.2107</v>
      </c>
      <c r="I33" s="89" t="s">
        <v>682</v>
      </c>
      <c r="J33" s="89" t="s">
        <v>500</v>
      </c>
      <c r="K33" s="76">
        <f>312568560/1000000</f>
        <v>312.56856</v>
      </c>
      <c r="L33" s="26">
        <v>33</v>
      </c>
      <c r="M33" s="96">
        <v>0</v>
      </c>
      <c r="N33" s="42">
        <v>33</v>
      </c>
      <c r="O33" s="345">
        <v>0.26</v>
      </c>
      <c r="P33" s="27" t="s">
        <v>280</v>
      </c>
      <c r="Q33" s="31" t="s">
        <v>281</v>
      </c>
      <c r="R33" s="42"/>
      <c r="S33" s="42"/>
      <c r="T33" s="27"/>
      <c r="U33" s="31"/>
      <c r="V33" s="42"/>
      <c r="W33" s="42"/>
      <c r="X33" s="27"/>
      <c r="Y33" s="31"/>
      <c r="Z33" s="77">
        <f t="shared" si="2"/>
        <v>1</v>
      </c>
      <c r="AA33" s="77" t="s">
        <v>396</v>
      </c>
      <c r="AB33" s="77" t="s">
        <v>395</v>
      </c>
    </row>
    <row r="34" spans="2:28" s="85" customFormat="1" ht="273" customHeight="1">
      <c r="B34" s="88" t="s">
        <v>877</v>
      </c>
      <c r="C34" s="88" t="s">
        <v>673</v>
      </c>
      <c r="D34" s="74" t="s">
        <v>684</v>
      </c>
      <c r="E34" s="90">
        <v>1296.754506</v>
      </c>
      <c r="F34" s="91" t="s">
        <v>673</v>
      </c>
      <c r="G34" s="75">
        <v>0</v>
      </c>
      <c r="H34" s="75">
        <v>261.19795</v>
      </c>
      <c r="I34" s="89" t="s">
        <v>443</v>
      </c>
      <c r="J34" s="89" t="s">
        <v>1061</v>
      </c>
      <c r="K34" s="76">
        <v>0</v>
      </c>
      <c r="L34" s="26">
        <v>683.489159</v>
      </c>
      <c r="M34" s="96">
        <v>641</v>
      </c>
      <c r="N34" s="42">
        <v>641</v>
      </c>
      <c r="O34" s="345">
        <v>0.09</v>
      </c>
      <c r="P34" s="31" t="s">
        <v>282</v>
      </c>
      <c r="Q34" s="31" t="s">
        <v>283</v>
      </c>
      <c r="R34" s="31"/>
      <c r="S34" s="31"/>
      <c r="T34" s="31"/>
      <c r="U34" s="31"/>
      <c r="V34" s="31"/>
      <c r="W34" s="31"/>
      <c r="X34" s="31"/>
      <c r="Y34" s="31"/>
      <c r="Z34" s="77">
        <f t="shared" si="2"/>
        <v>0.9378349189003011</v>
      </c>
      <c r="AA34" s="77" t="s">
        <v>397</v>
      </c>
      <c r="AB34" s="77" t="s">
        <v>395</v>
      </c>
    </row>
    <row r="35" spans="2:28" s="85" customFormat="1" ht="148.5">
      <c r="B35" s="88" t="s">
        <v>877</v>
      </c>
      <c r="C35" s="88" t="s">
        <v>673</v>
      </c>
      <c r="D35" s="88" t="s">
        <v>920</v>
      </c>
      <c r="E35" s="90">
        <f>206234.891082034+1706.95+2194.65</f>
        <v>210136.49108203402</v>
      </c>
      <c r="F35" s="91" t="s">
        <v>673</v>
      </c>
      <c r="G35" s="75">
        <f>32584803818/1000000</f>
        <v>32584.803818</v>
      </c>
      <c r="H35" s="75">
        <v>66120.510571</v>
      </c>
      <c r="I35" s="96" t="s">
        <v>444</v>
      </c>
      <c r="J35" s="89" t="s">
        <v>501</v>
      </c>
      <c r="K35" s="76">
        <f>75847933216/1000000</f>
        <v>75847.933216</v>
      </c>
      <c r="L35" s="26">
        <v>69961</v>
      </c>
      <c r="M35" s="76">
        <v>63214</v>
      </c>
      <c r="N35" s="26">
        <v>67003</v>
      </c>
      <c r="O35" s="347">
        <v>0.94</v>
      </c>
      <c r="P35" s="31" t="s">
        <v>284</v>
      </c>
      <c r="Q35" s="31" t="s">
        <v>285</v>
      </c>
      <c r="R35" s="26"/>
      <c r="S35" s="26"/>
      <c r="T35" s="31"/>
      <c r="U35" s="42"/>
      <c r="V35" s="26"/>
      <c r="W35" s="26"/>
      <c r="X35" s="31"/>
      <c r="Y35" s="42"/>
      <c r="Z35" s="77">
        <f t="shared" si="2"/>
        <v>0.9577193007532768</v>
      </c>
      <c r="AA35" s="77" t="s">
        <v>397</v>
      </c>
      <c r="AB35" s="77" t="s">
        <v>395</v>
      </c>
    </row>
    <row r="36" spans="2:28" s="85" customFormat="1" ht="99">
      <c r="B36" s="88" t="s">
        <v>877</v>
      </c>
      <c r="C36" s="88" t="s">
        <v>673</v>
      </c>
      <c r="D36" s="88" t="s">
        <v>921</v>
      </c>
      <c r="E36" s="90">
        <v>9063.24123237166</v>
      </c>
      <c r="F36" s="91" t="s">
        <v>673</v>
      </c>
      <c r="G36" s="75">
        <f>150710548/1000000</f>
        <v>150.710548</v>
      </c>
      <c r="H36" s="97">
        <v>1147.1995</v>
      </c>
      <c r="I36" s="98" t="s">
        <v>445</v>
      </c>
      <c r="J36" s="89" t="s">
        <v>502</v>
      </c>
      <c r="K36" s="76">
        <v>1841.943582</v>
      </c>
      <c r="L36" s="26">
        <v>2660</v>
      </c>
      <c r="M36" s="76">
        <v>2660</v>
      </c>
      <c r="N36" s="26">
        <v>2660</v>
      </c>
      <c r="O36" s="347">
        <v>0.56</v>
      </c>
      <c r="P36" s="31" t="s">
        <v>286</v>
      </c>
      <c r="Q36" s="48" t="s">
        <v>287</v>
      </c>
      <c r="R36" s="26"/>
      <c r="S36" s="26"/>
      <c r="T36" s="31"/>
      <c r="U36" s="48"/>
      <c r="V36" s="26"/>
      <c r="W36" s="26"/>
      <c r="X36" s="31"/>
      <c r="Y36" s="48"/>
      <c r="Z36" s="77">
        <f t="shared" si="2"/>
        <v>1</v>
      </c>
      <c r="AA36" s="77" t="s">
        <v>397</v>
      </c>
      <c r="AB36" s="77" t="s">
        <v>395</v>
      </c>
    </row>
    <row r="37" spans="2:28" s="85" customFormat="1" ht="192.75" customHeight="1">
      <c r="B37" s="88" t="s">
        <v>877</v>
      </c>
      <c r="C37" s="88" t="s">
        <v>673</v>
      </c>
      <c r="D37" s="89" t="s">
        <v>920</v>
      </c>
      <c r="E37" s="90">
        <v>971.199529</v>
      </c>
      <c r="F37" s="91" t="s">
        <v>673</v>
      </c>
      <c r="G37" s="75">
        <f>127322599/1000000</f>
        <v>127.322599</v>
      </c>
      <c r="H37" s="75">
        <v>56.375</v>
      </c>
      <c r="I37" s="73" t="s">
        <v>195</v>
      </c>
      <c r="J37" s="73" t="s">
        <v>1065</v>
      </c>
      <c r="K37" s="76">
        <v>82.574</v>
      </c>
      <c r="L37" s="26">
        <v>0</v>
      </c>
      <c r="M37" s="76">
        <v>0</v>
      </c>
      <c r="N37" s="26">
        <v>0</v>
      </c>
      <c r="O37" s="347">
        <v>0</v>
      </c>
      <c r="P37" s="31" t="s">
        <v>46</v>
      </c>
      <c r="Q37" s="41" t="s">
        <v>47</v>
      </c>
      <c r="R37" s="26"/>
      <c r="S37" s="26"/>
      <c r="T37" s="31"/>
      <c r="U37" s="41"/>
      <c r="V37" s="26"/>
      <c r="W37" s="26"/>
      <c r="X37" s="31"/>
      <c r="Y37" s="41"/>
      <c r="Z37" s="77">
        <f t="shared" si="2"/>
        <v>1</v>
      </c>
      <c r="AA37" s="77" t="s">
        <v>397</v>
      </c>
      <c r="AB37" s="77" t="s">
        <v>395</v>
      </c>
    </row>
    <row r="38" spans="2:28" s="85" customFormat="1" ht="171" customHeight="1">
      <c r="B38" s="88" t="s">
        <v>877</v>
      </c>
      <c r="C38" s="88" t="s">
        <v>673</v>
      </c>
      <c r="D38" s="89" t="s">
        <v>196</v>
      </c>
      <c r="E38" s="90">
        <v>812.086588</v>
      </c>
      <c r="F38" s="91" t="s">
        <v>673</v>
      </c>
      <c r="G38" s="75">
        <f>527358203/1000000</f>
        <v>527.358203</v>
      </c>
      <c r="H38" s="75">
        <v>209.64</v>
      </c>
      <c r="I38" s="96" t="s">
        <v>446</v>
      </c>
      <c r="J38" s="73" t="s">
        <v>197</v>
      </c>
      <c r="K38" s="76">
        <v>594.119382</v>
      </c>
      <c r="L38" s="26">
        <v>2096</v>
      </c>
      <c r="M38" s="76">
        <v>1881</v>
      </c>
      <c r="N38" s="26">
        <v>1881</v>
      </c>
      <c r="O38" s="347">
        <v>0.05</v>
      </c>
      <c r="P38" s="31" t="s">
        <v>48</v>
      </c>
      <c r="Q38" s="31" t="s">
        <v>49</v>
      </c>
      <c r="R38" s="26"/>
      <c r="S38" s="26"/>
      <c r="T38" s="31"/>
      <c r="U38" s="31"/>
      <c r="V38" s="26"/>
      <c r="W38" s="26"/>
      <c r="X38" s="31"/>
      <c r="Y38" s="31"/>
      <c r="Z38" s="77">
        <f t="shared" si="2"/>
        <v>0.8974236641221374</v>
      </c>
      <c r="AA38" s="77" t="s">
        <v>396</v>
      </c>
      <c r="AB38" s="77" t="s">
        <v>395</v>
      </c>
    </row>
    <row r="39" spans="2:28" s="85" customFormat="1" ht="156.75" customHeight="1">
      <c r="B39" s="84" t="s">
        <v>472</v>
      </c>
      <c r="C39" s="84" t="s">
        <v>473</v>
      </c>
      <c r="D39" s="76" t="s">
        <v>474</v>
      </c>
      <c r="E39" s="75">
        <v>200</v>
      </c>
      <c r="F39" s="76" t="s">
        <v>473</v>
      </c>
      <c r="G39" s="75">
        <v>0</v>
      </c>
      <c r="H39" s="75">
        <v>52</v>
      </c>
      <c r="I39" s="99" t="s">
        <v>475</v>
      </c>
      <c r="J39" s="99" t="s">
        <v>503</v>
      </c>
      <c r="K39" s="99">
        <v>40</v>
      </c>
      <c r="L39" s="49">
        <v>40</v>
      </c>
      <c r="M39" s="99">
        <v>40</v>
      </c>
      <c r="N39" s="49">
        <v>40</v>
      </c>
      <c r="O39" s="348">
        <v>1</v>
      </c>
      <c r="P39" s="49" t="s">
        <v>50</v>
      </c>
      <c r="Q39" s="49">
        <v>0</v>
      </c>
      <c r="R39" s="49"/>
      <c r="S39" s="49"/>
      <c r="T39" s="49"/>
      <c r="U39" s="49"/>
      <c r="V39" s="49"/>
      <c r="W39" s="49"/>
      <c r="X39" s="49"/>
      <c r="Y39" s="49"/>
      <c r="Z39" s="77">
        <f t="shared" si="2"/>
        <v>1</v>
      </c>
      <c r="AA39" s="77" t="s">
        <v>396</v>
      </c>
      <c r="AB39" s="77" t="s">
        <v>527</v>
      </c>
    </row>
    <row r="40" spans="2:28" s="85" customFormat="1" ht="264">
      <c r="B40" s="88" t="s">
        <v>133</v>
      </c>
      <c r="C40" s="88" t="s">
        <v>476</v>
      </c>
      <c r="D40" s="91" t="s">
        <v>477</v>
      </c>
      <c r="E40" s="90">
        <f>91293.873922+1706.95</f>
        <v>93000.823922</v>
      </c>
      <c r="F40" s="91" t="s">
        <v>478</v>
      </c>
      <c r="G40" s="75">
        <f>35765339575/1000000</f>
        <v>35765.339575</v>
      </c>
      <c r="H40" s="75">
        <v>27200</v>
      </c>
      <c r="I40" s="89" t="s">
        <v>447</v>
      </c>
      <c r="J40" s="89" t="s">
        <v>962</v>
      </c>
      <c r="K40" s="99">
        <f>((22984696367.5299*0.851)+5796584495+8990243359)/1000000</f>
        <v>34346.80446276794</v>
      </c>
      <c r="L40" s="49">
        <v>42621.192010000006</v>
      </c>
      <c r="M40" s="99">
        <v>36931.082267000005</v>
      </c>
      <c r="N40" s="49">
        <f>36999+3589</f>
        <v>40588</v>
      </c>
      <c r="O40" s="348">
        <v>0.9</v>
      </c>
      <c r="P40" s="31" t="s">
        <v>51</v>
      </c>
      <c r="Q40" s="31" t="s">
        <v>52</v>
      </c>
      <c r="R40" s="49"/>
      <c r="S40" s="49"/>
      <c r="T40" s="31"/>
      <c r="U40" s="31"/>
      <c r="V40" s="49"/>
      <c r="W40" s="49"/>
      <c r="X40" s="31"/>
      <c r="Y40" s="31"/>
      <c r="Z40" s="77">
        <f t="shared" si="2"/>
        <v>0.9522962189907085</v>
      </c>
      <c r="AA40" s="77" t="s">
        <v>398</v>
      </c>
      <c r="AB40" s="77" t="s">
        <v>395</v>
      </c>
    </row>
    <row r="41" spans="2:28" s="85" customFormat="1" ht="363">
      <c r="B41" s="100" t="s">
        <v>133</v>
      </c>
      <c r="C41" s="100" t="s">
        <v>476</v>
      </c>
      <c r="D41" s="91" t="s">
        <v>477</v>
      </c>
      <c r="E41" s="90">
        <f>22578.427437+1706.95</f>
        <v>24285.377437</v>
      </c>
      <c r="F41" s="91" t="s">
        <v>478</v>
      </c>
      <c r="G41" s="75">
        <f>6309956497/1000000</f>
        <v>6309.956497</v>
      </c>
      <c r="H41" s="75">
        <v>4112.200014</v>
      </c>
      <c r="I41" s="89" t="s">
        <v>512</v>
      </c>
      <c r="J41" s="89" t="s">
        <v>504</v>
      </c>
      <c r="K41" s="99">
        <f>8248051800/1000000</f>
        <v>8248.0518</v>
      </c>
      <c r="L41" s="49">
        <v>8051.980401999999</v>
      </c>
      <c r="M41" s="99">
        <v>8052</v>
      </c>
      <c r="N41" s="49">
        <v>8052</v>
      </c>
      <c r="O41" s="348">
        <v>0.9</v>
      </c>
      <c r="P41" s="31" t="s">
        <v>53</v>
      </c>
      <c r="Q41" s="31" t="s">
        <v>54</v>
      </c>
      <c r="R41" s="49"/>
      <c r="S41" s="49"/>
      <c r="T41" s="31"/>
      <c r="U41" s="31"/>
      <c r="V41" s="49"/>
      <c r="W41" s="49"/>
      <c r="X41" s="31"/>
      <c r="Y41" s="31"/>
      <c r="Z41" s="77">
        <f t="shared" si="2"/>
        <v>1.0000024339353826</v>
      </c>
      <c r="AA41" s="77" t="s">
        <v>398</v>
      </c>
      <c r="AB41" s="77" t="s">
        <v>395</v>
      </c>
    </row>
    <row r="42" spans="2:28" s="85" customFormat="1" ht="181.5">
      <c r="B42" s="100" t="s">
        <v>133</v>
      </c>
      <c r="C42" s="100" t="s">
        <v>476</v>
      </c>
      <c r="D42" s="91" t="s">
        <v>477</v>
      </c>
      <c r="E42" s="101">
        <f>118345+1706.95</f>
        <v>120051.95</v>
      </c>
      <c r="F42" s="91" t="s">
        <v>478</v>
      </c>
      <c r="G42" s="75">
        <f>31063129564.98/1000000</f>
        <v>31063.12956498</v>
      </c>
      <c r="H42" s="75">
        <v>36457.1930598008</v>
      </c>
      <c r="I42" s="102" t="s">
        <v>513</v>
      </c>
      <c r="J42" s="102" t="s">
        <v>505</v>
      </c>
      <c r="K42" s="99">
        <f>(33000000000*0.74)/1000000</f>
        <v>24420</v>
      </c>
      <c r="L42" s="49">
        <v>33728.150572</v>
      </c>
      <c r="M42" s="99">
        <v>24178</v>
      </c>
      <c r="N42" s="49">
        <v>31886</v>
      </c>
      <c r="O42" s="348">
        <v>0.9</v>
      </c>
      <c r="P42" s="43" t="s">
        <v>55</v>
      </c>
      <c r="Q42" s="43" t="s">
        <v>56</v>
      </c>
      <c r="R42" s="49"/>
      <c r="S42" s="49"/>
      <c r="T42" s="43"/>
      <c r="U42" s="43"/>
      <c r="V42" s="49"/>
      <c r="W42" s="49"/>
      <c r="X42" s="43"/>
      <c r="Y42" s="43"/>
      <c r="Z42" s="77">
        <f t="shared" si="2"/>
        <v>0.9453824019177235</v>
      </c>
      <c r="AA42" s="77" t="s">
        <v>398</v>
      </c>
      <c r="AB42" s="77" t="s">
        <v>395</v>
      </c>
    </row>
    <row r="43" spans="2:28" s="85" customFormat="1" ht="253.5" customHeight="1">
      <c r="B43" s="88" t="s">
        <v>479</v>
      </c>
      <c r="C43" s="74" t="s">
        <v>480</v>
      </c>
      <c r="D43" s="74" t="s">
        <v>481</v>
      </c>
      <c r="E43" s="90">
        <f>64000+10698</f>
        <v>74698</v>
      </c>
      <c r="F43" s="74" t="s">
        <v>482</v>
      </c>
      <c r="G43" s="75">
        <f>24018257127/1000000</f>
        <v>24018.257127</v>
      </c>
      <c r="H43" s="75">
        <v>34576</v>
      </c>
      <c r="I43" s="103" t="s">
        <v>514</v>
      </c>
      <c r="J43" s="103" t="s">
        <v>969</v>
      </c>
      <c r="K43" s="99">
        <f>19900+10956</f>
        <v>30856</v>
      </c>
      <c r="L43" s="49">
        <v>27451</v>
      </c>
      <c r="M43" s="99">
        <v>13641.809638</v>
      </c>
      <c r="N43" s="49">
        <f>3388+5586+7517+4728</f>
        <v>21219</v>
      </c>
      <c r="O43" s="353" t="s">
        <v>86</v>
      </c>
      <c r="P43" s="27" t="s">
        <v>57</v>
      </c>
      <c r="Q43" s="27" t="s">
        <v>58</v>
      </c>
      <c r="R43" s="49"/>
      <c r="S43" s="49"/>
      <c r="T43" s="27"/>
      <c r="U43" s="27"/>
      <c r="V43" s="49"/>
      <c r="W43" s="49"/>
      <c r="X43" s="27"/>
      <c r="Y43" s="27"/>
      <c r="Z43" s="77">
        <f t="shared" si="2"/>
        <v>0.7729773050162106</v>
      </c>
      <c r="AA43" s="77" t="s">
        <v>399</v>
      </c>
      <c r="AB43" s="77" t="s">
        <v>527</v>
      </c>
    </row>
    <row r="44" spans="2:28" s="85" customFormat="1" ht="198">
      <c r="B44" s="84" t="s">
        <v>877</v>
      </c>
      <c r="C44" s="84" t="s">
        <v>692</v>
      </c>
      <c r="D44" s="76" t="s">
        <v>826</v>
      </c>
      <c r="E44" s="75">
        <v>9850.403814233174</v>
      </c>
      <c r="F44" s="76" t="s">
        <v>694</v>
      </c>
      <c r="G44" s="75">
        <f>2070928880/1000000</f>
        <v>2070.92888</v>
      </c>
      <c r="H44" s="75">
        <v>0</v>
      </c>
      <c r="I44" s="103" t="s">
        <v>827</v>
      </c>
      <c r="J44" s="103" t="s">
        <v>506</v>
      </c>
      <c r="K44" s="75">
        <v>0</v>
      </c>
      <c r="L44" s="75">
        <v>0</v>
      </c>
      <c r="M44" s="75">
        <v>0</v>
      </c>
      <c r="N44" s="75">
        <v>0</v>
      </c>
      <c r="O44" s="354">
        <v>0.32</v>
      </c>
      <c r="P44" s="27" t="s">
        <v>59</v>
      </c>
      <c r="Q44" s="27" t="s">
        <v>60</v>
      </c>
      <c r="R44" s="75"/>
      <c r="S44" s="75"/>
      <c r="T44" s="27"/>
      <c r="U44" s="27"/>
      <c r="V44" s="75"/>
      <c r="W44" s="75"/>
      <c r="X44" s="27"/>
      <c r="Y44" s="27"/>
      <c r="Z44" s="77">
        <f t="shared" si="2"/>
        <v>1</v>
      </c>
      <c r="AA44" s="77" t="s">
        <v>398</v>
      </c>
      <c r="AB44" s="77" t="s">
        <v>395</v>
      </c>
    </row>
    <row r="45" spans="2:28" s="85" customFormat="1" ht="283.5" customHeight="1">
      <c r="B45" s="76" t="s">
        <v>877</v>
      </c>
      <c r="C45" s="76" t="s">
        <v>692</v>
      </c>
      <c r="D45" s="76" t="s">
        <v>828</v>
      </c>
      <c r="E45" s="75">
        <v>40610</v>
      </c>
      <c r="F45" s="76" t="s">
        <v>694</v>
      </c>
      <c r="G45" s="75">
        <f>5969000000/1000000</f>
        <v>5969</v>
      </c>
      <c r="H45" s="75">
        <v>5937</v>
      </c>
      <c r="I45" s="79" t="s">
        <v>515</v>
      </c>
      <c r="J45" s="79" t="s">
        <v>963</v>
      </c>
      <c r="K45" s="75">
        <f>9176346990/1000000</f>
        <v>9176.34699</v>
      </c>
      <c r="L45" s="29">
        <v>9730</v>
      </c>
      <c r="M45" s="75">
        <v>8104</v>
      </c>
      <c r="N45" s="29">
        <v>8268</v>
      </c>
      <c r="O45" s="345">
        <v>0.83</v>
      </c>
      <c r="P45" s="27" t="s">
        <v>61</v>
      </c>
      <c r="Q45" s="343" t="s">
        <v>62</v>
      </c>
      <c r="R45" s="29"/>
      <c r="S45" s="29"/>
      <c r="T45" s="27"/>
      <c r="U45" s="28"/>
      <c r="V45" s="29"/>
      <c r="W45" s="29"/>
      <c r="X45" s="27"/>
      <c r="Y45" s="28"/>
      <c r="Z45" s="77">
        <f t="shared" si="2"/>
        <v>0.8497430626927029</v>
      </c>
      <c r="AA45" s="77" t="s">
        <v>398</v>
      </c>
      <c r="AB45" s="77" t="s">
        <v>395</v>
      </c>
    </row>
    <row r="46" spans="2:28" s="78" customFormat="1" ht="66">
      <c r="B46" s="88" t="s">
        <v>877</v>
      </c>
      <c r="C46" s="88" t="s">
        <v>673</v>
      </c>
      <c r="D46" s="89" t="s">
        <v>829</v>
      </c>
      <c r="E46" s="90">
        <v>6302.018022</v>
      </c>
      <c r="F46" s="91" t="s">
        <v>673</v>
      </c>
      <c r="G46" s="75">
        <f>2684738600/1000000</f>
        <v>2684.7386</v>
      </c>
      <c r="H46" s="75">
        <v>2250.2395</v>
      </c>
      <c r="I46" s="95" t="s">
        <v>516</v>
      </c>
      <c r="J46" s="95" t="s">
        <v>964</v>
      </c>
      <c r="K46" s="93">
        <v>1000.96648</v>
      </c>
      <c r="L46" s="46">
        <v>3430</v>
      </c>
      <c r="M46" s="95">
        <v>3430</v>
      </c>
      <c r="N46" s="47">
        <v>3430</v>
      </c>
      <c r="O46" s="349">
        <v>0.16</v>
      </c>
      <c r="P46" s="27" t="s">
        <v>63</v>
      </c>
      <c r="Q46" s="47" t="s">
        <v>64</v>
      </c>
      <c r="R46" s="47"/>
      <c r="S46" s="47"/>
      <c r="T46" s="27"/>
      <c r="U46" s="47"/>
      <c r="V46" s="47"/>
      <c r="W46" s="47"/>
      <c r="X46" s="27"/>
      <c r="Y46" s="47"/>
      <c r="Z46" s="77">
        <f t="shared" si="2"/>
        <v>1</v>
      </c>
      <c r="AA46" s="77" t="s">
        <v>396</v>
      </c>
      <c r="AB46" s="77" t="s">
        <v>395</v>
      </c>
    </row>
    <row r="47" spans="2:28" s="106" customFormat="1" ht="99">
      <c r="B47" s="88" t="s">
        <v>877</v>
      </c>
      <c r="C47" s="88" t="s">
        <v>673</v>
      </c>
      <c r="D47" s="89" t="s">
        <v>830</v>
      </c>
      <c r="E47" s="90">
        <v>65.253036</v>
      </c>
      <c r="F47" s="91" t="s">
        <v>673</v>
      </c>
      <c r="G47" s="75">
        <f>223851981/1000000</f>
        <v>223.851981</v>
      </c>
      <c r="H47" s="75">
        <v>546.949808</v>
      </c>
      <c r="I47" s="104" t="s">
        <v>517</v>
      </c>
      <c r="J47" s="104" t="s">
        <v>498</v>
      </c>
      <c r="K47" s="105">
        <v>0</v>
      </c>
      <c r="L47" s="51">
        <v>0</v>
      </c>
      <c r="M47" s="105">
        <v>0</v>
      </c>
      <c r="N47" s="51">
        <v>0</v>
      </c>
      <c r="O47" s="350">
        <v>0</v>
      </c>
      <c r="P47" s="27" t="s">
        <v>70</v>
      </c>
      <c r="Q47" s="50" t="s">
        <v>65</v>
      </c>
      <c r="R47" s="51"/>
      <c r="S47" s="51"/>
      <c r="T47" s="27"/>
      <c r="U47" s="50"/>
      <c r="V47" s="51"/>
      <c r="W47" s="51"/>
      <c r="X47" s="27"/>
      <c r="Y47" s="50"/>
      <c r="Z47" s="77">
        <f t="shared" si="2"/>
        <v>1</v>
      </c>
      <c r="AA47" s="77" t="s">
        <v>396</v>
      </c>
      <c r="AB47" s="77" t="s">
        <v>395</v>
      </c>
    </row>
    <row r="48" spans="2:28" s="78" customFormat="1" ht="132">
      <c r="B48" s="88" t="s">
        <v>877</v>
      </c>
      <c r="C48" s="88" t="s">
        <v>673</v>
      </c>
      <c r="D48" s="89" t="s">
        <v>198</v>
      </c>
      <c r="E48" s="90">
        <v>338.312913</v>
      </c>
      <c r="F48" s="91" t="s">
        <v>673</v>
      </c>
      <c r="G48" s="75">
        <f>527358203/1000000</f>
        <v>527.358203</v>
      </c>
      <c r="H48" s="75">
        <v>250.7056</v>
      </c>
      <c r="I48" s="89" t="s">
        <v>680</v>
      </c>
      <c r="J48" s="89" t="s">
        <v>970</v>
      </c>
      <c r="K48" s="96">
        <v>0</v>
      </c>
      <c r="L48" s="228">
        <v>1902</v>
      </c>
      <c r="M48" s="90">
        <v>1902</v>
      </c>
      <c r="N48" s="228">
        <v>1902</v>
      </c>
      <c r="O48" s="351">
        <v>0.81</v>
      </c>
      <c r="P48" s="31" t="s">
        <v>366</v>
      </c>
      <c r="Q48" s="31" t="s">
        <v>367</v>
      </c>
      <c r="R48" s="228"/>
      <c r="S48" s="228"/>
      <c r="T48" s="31"/>
      <c r="U48" s="31"/>
      <c r="V48" s="228"/>
      <c r="W48" s="228"/>
      <c r="X48" s="31"/>
      <c r="Y48" s="31"/>
      <c r="Z48" s="77">
        <f t="shared" si="2"/>
        <v>1</v>
      </c>
      <c r="AA48" s="77" t="s">
        <v>396</v>
      </c>
      <c r="AB48" s="77" t="s">
        <v>395</v>
      </c>
    </row>
    <row r="49" spans="2:28" s="85" customFormat="1" ht="66">
      <c r="B49" s="88" t="s">
        <v>877</v>
      </c>
      <c r="C49" s="88" t="s">
        <v>673</v>
      </c>
      <c r="D49" s="89" t="s">
        <v>674</v>
      </c>
      <c r="E49" s="90">
        <v>177.133578</v>
      </c>
      <c r="F49" s="91" t="s">
        <v>673</v>
      </c>
      <c r="G49" s="75">
        <v>0</v>
      </c>
      <c r="H49" s="75">
        <v>299.02964</v>
      </c>
      <c r="I49" s="107"/>
      <c r="J49" s="89" t="s">
        <v>507</v>
      </c>
      <c r="K49" s="108">
        <v>0</v>
      </c>
      <c r="L49" s="52">
        <v>0</v>
      </c>
      <c r="M49" s="108">
        <v>0</v>
      </c>
      <c r="N49" s="52">
        <v>0</v>
      </c>
      <c r="O49" s="352">
        <v>0.27</v>
      </c>
      <c r="P49" s="31" t="s">
        <v>71</v>
      </c>
      <c r="Q49" s="31" t="s">
        <v>368</v>
      </c>
      <c r="R49" s="52"/>
      <c r="S49" s="52"/>
      <c r="T49" s="31"/>
      <c r="U49" s="31"/>
      <c r="V49" s="52"/>
      <c r="W49" s="52"/>
      <c r="X49" s="31"/>
      <c r="Y49" s="31"/>
      <c r="Z49" s="77">
        <f t="shared" si="2"/>
        <v>1</v>
      </c>
      <c r="AA49" s="77"/>
      <c r="AB49" s="77" t="s">
        <v>395</v>
      </c>
    </row>
    <row r="50" spans="2:28" s="85" customFormat="1" ht="297">
      <c r="B50" s="88" t="s">
        <v>199</v>
      </c>
      <c r="C50" s="88" t="s">
        <v>200</v>
      </c>
      <c r="D50" s="88" t="s">
        <v>201</v>
      </c>
      <c r="E50" s="90">
        <f>5968.195786+2194.65</f>
        <v>8162.845786</v>
      </c>
      <c r="F50" s="91" t="s">
        <v>202</v>
      </c>
      <c r="G50" s="75">
        <f>720428924/1000000</f>
        <v>720.428924</v>
      </c>
      <c r="H50" s="75">
        <v>1727</v>
      </c>
      <c r="I50" s="109" t="s">
        <v>203</v>
      </c>
      <c r="J50" s="109" t="s">
        <v>965</v>
      </c>
      <c r="K50" s="75">
        <f>1477384520/1000000</f>
        <v>1477.38452</v>
      </c>
      <c r="L50" s="29">
        <v>1409</v>
      </c>
      <c r="M50" s="75">
        <v>1354</v>
      </c>
      <c r="N50" s="29">
        <v>1358.249496</v>
      </c>
      <c r="O50" s="345">
        <v>0.3</v>
      </c>
      <c r="P50" s="53" t="s">
        <v>369</v>
      </c>
      <c r="Q50" s="53" t="s">
        <v>370</v>
      </c>
      <c r="R50" s="29"/>
      <c r="S50" s="29"/>
      <c r="T50" s="53"/>
      <c r="U50" s="53"/>
      <c r="V50" s="29"/>
      <c r="W50" s="29"/>
      <c r="X50" s="53"/>
      <c r="Y50" s="53"/>
      <c r="Z50" s="77">
        <f t="shared" si="2"/>
        <v>0.9639811894960965</v>
      </c>
      <c r="AA50" s="77" t="s">
        <v>66</v>
      </c>
      <c r="AB50" s="77" t="s">
        <v>996</v>
      </c>
    </row>
    <row r="51" spans="2:28" s="85" customFormat="1" ht="82.5">
      <c r="B51" s="88" t="s">
        <v>877</v>
      </c>
      <c r="C51" s="88" t="s">
        <v>204</v>
      </c>
      <c r="D51" s="73" t="s">
        <v>205</v>
      </c>
      <c r="E51" s="90">
        <v>706.382376</v>
      </c>
      <c r="F51" s="91" t="s">
        <v>204</v>
      </c>
      <c r="G51" s="75">
        <f>66260000/1000000</f>
        <v>66.26</v>
      </c>
      <c r="H51" s="90">
        <v>534</v>
      </c>
      <c r="I51" s="103" t="s">
        <v>518</v>
      </c>
      <c r="J51" s="103" t="s">
        <v>508</v>
      </c>
      <c r="K51" s="75">
        <v>500</v>
      </c>
      <c r="L51" s="29">
        <v>491</v>
      </c>
      <c r="M51" s="75">
        <v>407</v>
      </c>
      <c r="N51" s="29">
        <v>407</v>
      </c>
      <c r="O51" s="345">
        <v>0.42</v>
      </c>
      <c r="P51" s="27" t="s">
        <v>371</v>
      </c>
      <c r="Q51" s="27" t="s">
        <v>372</v>
      </c>
      <c r="R51" s="29"/>
      <c r="S51" s="29"/>
      <c r="T51" s="27"/>
      <c r="U51" s="27"/>
      <c r="V51" s="29"/>
      <c r="W51" s="29"/>
      <c r="X51" s="27"/>
      <c r="Y51" s="27"/>
      <c r="Z51" s="77">
        <f t="shared" si="2"/>
        <v>0.8289205702647657</v>
      </c>
      <c r="AA51" s="77" t="s">
        <v>394</v>
      </c>
      <c r="AB51" s="77" t="s">
        <v>527</v>
      </c>
    </row>
    <row r="52" spans="2:28" s="85" customFormat="1" ht="148.5">
      <c r="B52" s="88" t="s">
        <v>877</v>
      </c>
      <c r="C52" s="88" t="s">
        <v>204</v>
      </c>
      <c r="D52" s="73" t="s">
        <v>206</v>
      </c>
      <c r="E52" s="90">
        <v>706.382376</v>
      </c>
      <c r="F52" s="91" t="s">
        <v>204</v>
      </c>
      <c r="G52" s="75">
        <f>82125284.0858082/1000000</f>
        <v>82.1252840858082</v>
      </c>
      <c r="H52" s="90">
        <v>246</v>
      </c>
      <c r="I52" s="103" t="s">
        <v>519</v>
      </c>
      <c r="J52" s="103" t="s">
        <v>509</v>
      </c>
      <c r="K52" s="75">
        <v>190</v>
      </c>
      <c r="L52" s="29">
        <v>64</v>
      </c>
      <c r="M52" s="75">
        <v>59</v>
      </c>
      <c r="N52" s="29">
        <v>59</v>
      </c>
      <c r="O52" s="345">
        <v>1</v>
      </c>
      <c r="P52" s="27" t="s">
        <v>373</v>
      </c>
      <c r="Q52" s="27" t="s">
        <v>374</v>
      </c>
      <c r="R52" s="29"/>
      <c r="S52" s="29"/>
      <c r="T52" s="27"/>
      <c r="U52" s="27"/>
      <c r="V52" s="29"/>
      <c r="W52" s="29"/>
      <c r="X52" s="27"/>
      <c r="Y52" s="27"/>
      <c r="Z52" s="77">
        <f t="shared" si="2"/>
        <v>0.921875</v>
      </c>
      <c r="AA52" s="77" t="s">
        <v>394</v>
      </c>
      <c r="AB52" s="77" t="s">
        <v>527</v>
      </c>
    </row>
    <row r="53" spans="2:28" s="85" customFormat="1" ht="82.5">
      <c r="B53" s="88" t="s">
        <v>877</v>
      </c>
      <c r="C53" s="88" t="s">
        <v>204</v>
      </c>
      <c r="D53" s="73" t="s">
        <v>207</v>
      </c>
      <c r="E53" s="90">
        <v>706.382376</v>
      </c>
      <c r="F53" s="91" t="s">
        <v>204</v>
      </c>
      <c r="G53" s="75">
        <f>527408860.1216/1000000</f>
        <v>527.4088601216</v>
      </c>
      <c r="H53" s="90">
        <v>496</v>
      </c>
      <c r="I53" s="103" t="s">
        <v>520</v>
      </c>
      <c r="J53" s="103" t="s">
        <v>572</v>
      </c>
      <c r="K53" s="75">
        <v>390</v>
      </c>
      <c r="L53" s="29">
        <v>261</v>
      </c>
      <c r="M53" s="75">
        <v>228</v>
      </c>
      <c r="N53" s="29">
        <v>228</v>
      </c>
      <c r="O53" s="345">
        <v>0.8</v>
      </c>
      <c r="P53" s="27" t="s">
        <v>375</v>
      </c>
      <c r="Q53" s="27" t="s">
        <v>376</v>
      </c>
      <c r="R53" s="29"/>
      <c r="S53" s="29"/>
      <c r="T53" s="27"/>
      <c r="U53" s="27"/>
      <c r="V53" s="29"/>
      <c r="W53" s="29"/>
      <c r="X53" s="27"/>
      <c r="Y53" s="27"/>
      <c r="Z53" s="77">
        <f t="shared" si="2"/>
        <v>0.8735632183908046</v>
      </c>
      <c r="AA53" s="77" t="s">
        <v>394</v>
      </c>
      <c r="AB53" s="77" t="s">
        <v>527</v>
      </c>
    </row>
    <row r="54" spans="2:28" s="85" customFormat="1" ht="198">
      <c r="B54" s="88" t="s">
        <v>877</v>
      </c>
      <c r="C54" s="88" t="s">
        <v>204</v>
      </c>
      <c r="D54" s="73" t="s">
        <v>208</v>
      </c>
      <c r="E54" s="90">
        <v>3276.010072</v>
      </c>
      <c r="F54" s="91" t="s">
        <v>204</v>
      </c>
      <c r="G54" s="75">
        <f>415707142.857143/1000000</f>
        <v>415.70714285714297</v>
      </c>
      <c r="H54" s="90">
        <v>430</v>
      </c>
      <c r="I54" s="103" t="s">
        <v>521</v>
      </c>
      <c r="J54" s="103" t="s">
        <v>573</v>
      </c>
      <c r="K54" s="75">
        <v>430</v>
      </c>
      <c r="L54" s="29">
        <v>328</v>
      </c>
      <c r="M54" s="75">
        <v>12</v>
      </c>
      <c r="N54" s="29">
        <v>39</v>
      </c>
      <c r="O54" s="345">
        <v>0.92</v>
      </c>
      <c r="P54" s="27" t="s">
        <v>377</v>
      </c>
      <c r="Q54" s="27" t="s">
        <v>378</v>
      </c>
      <c r="R54" s="29"/>
      <c r="S54" s="29"/>
      <c r="T54" s="27"/>
      <c r="U54" s="27"/>
      <c r="V54" s="29"/>
      <c r="W54" s="29"/>
      <c r="X54" s="27"/>
      <c r="Y54" s="27"/>
      <c r="Z54" s="77">
        <f t="shared" si="2"/>
        <v>0.11890243902439024</v>
      </c>
      <c r="AA54" s="77" t="s">
        <v>67</v>
      </c>
      <c r="AB54" s="77" t="s">
        <v>527</v>
      </c>
    </row>
    <row r="55" spans="2:28" ht="16.5">
      <c r="B55" s="80" t="s">
        <v>209</v>
      </c>
      <c r="C55" s="80"/>
      <c r="D55" s="80"/>
      <c r="E55" s="60">
        <f>SUM(E24:E54)</f>
        <v>780102.2654029219</v>
      </c>
      <c r="F55" s="80"/>
      <c r="G55" s="60">
        <f>SUM(G24:G54)</f>
        <v>172820.13213904458</v>
      </c>
      <c r="H55" s="60">
        <f>SUM(H24:H54)</f>
        <v>214770.79307080078</v>
      </c>
      <c r="I55" s="80"/>
      <c r="J55" s="80"/>
      <c r="K55" s="60">
        <f aca="true" t="shared" si="3" ref="K55:V55">SUM(K24:K54)</f>
        <v>228999.79974436792</v>
      </c>
      <c r="L55" s="60">
        <f t="shared" si="3"/>
        <v>237811.81214299996</v>
      </c>
      <c r="M55" s="60">
        <f t="shared" si="3"/>
        <v>191113.22113700002</v>
      </c>
      <c r="N55" s="60">
        <f t="shared" si="3"/>
        <v>216605.202938</v>
      </c>
      <c r="O55" s="60"/>
      <c r="P55" s="80"/>
      <c r="Q55" s="80"/>
      <c r="R55" s="60">
        <f t="shared" si="3"/>
        <v>0</v>
      </c>
      <c r="S55" s="60"/>
      <c r="T55" s="80"/>
      <c r="U55" s="80"/>
      <c r="V55" s="60">
        <f t="shared" si="3"/>
        <v>0</v>
      </c>
      <c r="W55" s="60"/>
      <c r="X55" s="80"/>
      <c r="Y55" s="80"/>
      <c r="Z55" s="243">
        <f>+IF(L55=0,1,(IF(N55=0,M55/L55,N55/L55)))</f>
        <v>0.9108260896971422</v>
      </c>
      <c r="AA55" s="243"/>
      <c r="AB55" s="243"/>
    </row>
    <row r="56" spans="1:28" s="110" customFormat="1" ht="16.5" customHeight="1">
      <c r="A56" s="54"/>
      <c r="B56" s="69" t="s">
        <v>210</v>
      </c>
      <c r="C56" s="70"/>
      <c r="D56" s="70"/>
      <c r="E56" s="70"/>
      <c r="F56" s="70"/>
      <c r="G56" s="70"/>
      <c r="H56" s="64"/>
      <c r="I56" s="71"/>
      <c r="J56" s="71"/>
      <c r="K56" s="71"/>
      <c r="L56" s="71"/>
      <c r="M56" s="71"/>
      <c r="N56" s="71"/>
      <c r="O56" s="71"/>
      <c r="P56" s="71"/>
      <c r="Q56" s="71"/>
      <c r="R56" s="71"/>
      <c r="S56" s="71"/>
      <c r="T56" s="71"/>
      <c r="U56" s="71"/>
      <c r="V56" s="71"/>
      <c r="W56" s="71"/>
      <c r="X56" s="71"/>
      <c r="Y56" s="71"/>
      <c r="Z56" s="71"/>
      <c r="AA56" s="71"/>
      <c r="AB56" s="71"/>
    </row>
    <row r="57" spans="2:28" s="85" customFormat="1" ht="132">
      <c r="B57" s="423" t="s">
        <v>133</v>
      </c>
      <c r="C57" s="444" t="s">
        <v>476</v>
      </c>
      <c r="D57" s="444" t="s">
        <v>211</v>
      </c>
      <c r="E57" s="445">
        <v>60765</v>
      </c>
      <c r="F57" s="74" t="s">
        <v>619</v>
      </c>
      <c r="G57" s="75">
        <v>14281.92956510311</v>
      </c>
      <c r="H57" s="75">
        <v>9505.01</v>
      </c>
      <c r="I57" s="103" t="s">
        <v>455</v>
      </c>
      <c r="J57" s="103" t="s">
        <v>966</v>
      </c>
      <c r="K57" s="75">
        <v>7627.23</v>
      </c>
      <c r="L57" s="29">
        <v>7627.23</v>
      </c>
      <c r="M57" s="75">
        <v>1758.86</v>
      </c>
      <c r="N57" s="29">
        <v>3792</v>
      </c>
      <c r="O57" s="345">
        <v>1</v>
      </c>
      <c r="P57" s="27" t="s">
        <v>379</v>
      </c>
      <c r="Q57" s="27" t="s">
        <v>380</v>
      </c>
      <c r="R57" s="29"/>
      <c r="S57" s="29"/>
      <c r="T57" s="27"/>
      <c r="U57" s="27"/>
      <c r="V57" s="29"/>
      <c r="W57" s="29"/>
      <c r="X57" s="27"/>
      <c r="Y57" s="27"/>
      <c r="Z57" s="77">
        <f>+IF(L57=0,1,(IF(N57=0,M57/L57,N57/L57)))</f>
        <v>0.4971660747086426</v>
      </c>
      <c r="AA57" s="77" t="s">
        <v>68</v>
      </c>
      <c r="AB57" s="77" t="s">
        <v>527</v>
      </c>
    </row>
    <row r="58" spans="2:28" s="85" customFormat="1" ht="108.75" customHeight="1">
      <c r="B58" s="423"/>
      <c r="C58" s="444"/>
      <c r="D58" s="444"/>
      <c r="E58" s="445"/>
      <c r="F58" s="74" t="s">
        <v>584</v>
      </c>
      <c r="G58" s="75">
        <v>6187.1222050531605</v>
      </c>
      <c r="H58" s="75">
        <v>4765.02</v>
      </c>
      <c r="I58" s="103" t="s">
        <v>456</v>
      </c>
      <c r="J58" s="103" t="s">
        <v>967</v>
      </c>
      <c r="K58" s="75">
        <v>4574.58</v>
      </c>
      <c r="L58" s="29">
        <v>5501</v>
      </c>
      <c r="M58" s="75">
        <v>421.66</v>
      </c>
      <c r="N58" s="29">
        <v>5501</v>
      </c>
      <c r="O58" s="345">
        <v>0.7</v>
      </c>
      <c r="P58" s="27" t="s">
        <v>381</v>
      </c>
      <c r="Q58" s="27" t="s">
        <v>382</v>
      </c>
      <c r="R58" s="29"/>
      <c r="S58" s="29"/>
      <c r="T58" s="27"/>
      <c r="U58" s="27"/>
      <c r="V58" s="29"/>
      <c r="W58" s="29"/>
      <c r="X58" s="27"/>
      <c r="Y58" s="27"/>
      <c r="Z58" s="77">
        <f>+IF(L58=0,1,(IF(N58=0,M58/L58,N58/L58)))</f>
        <v>1</v>
      </c>
      <c r="AA58" s="77" t="s">
        <v>68</v>
      </c>
      <c r="AB58" s="77" t="s">
        <v>527</v>
      </c>
    </row>
    <row r="59" spans="2:28" s="85" customFormat="1" ht="208.5" customHeight="1">
      <c r="B59" s="423" t="s">
        <v>877</v>
      </c>
      <c r="C59" s="74" t="s">
        <v>585</v>
      </c>
      <c r="D59" s="111" t="s">
        <v>840</v>
      </c>
      <c r="E59" s="90">
        <v>25661</v>
      </c>
      <c r="F59" s="74" t="s">
        <v>855</v>
      </c>
      <c r="G59" s="75">
        <v>5715.512064</v>
      </c>
      <c r="H59" s="75">
        <v>5118.06</v>
      </c>
      <c r="I59" s="103" t="s">
        <v>457</v>
      </c>
      <c r="J59" s="103" t="s">
        <v>574</v>
      </c>
      <c r="K59" s="75">
        <v>6465</v>
      </c>
      <c r="L59" s="29">
        <v>5892</v>
      </c>
      <c r="M59" s="75">
        <v>1260.19</v>
      </c>
      <c r="N59" s="29">
        <v>3976</v>
      </c>
      <c r="O59" s="345">
        <v>1</v>
      </c>
      <c r="P59" s="27" t="s">
        <v>383</v>
      </c>
      <c r="Q59" s="27" t="s">
        <v>384</v>
      </c>
      <c r="R59" s="29"/>
      <c r="S59" s="29"/>
      <c r="T59" s="27"/>
      <c r="U59" s="27"/>
      <c r="V59" s="29"/>
      <c r="W59" s="29"/>
      <c r="X59" s="27"/>
      <c r="Y59" s="27"/>
      <c r="Z59" s="77">
        <f aca="true" t="shared" si="4" ref="Z59:Z65">+IF(L59=0,1,(IF(N59=0,M59/L59,N59/L59)))</f>
        <v>0.6748133061778683</v>
      </c>
      <c r="AA59" s="77" t="s">
        <v>68</v>
      </c>
      <c r="AB59" s="77" t="s">
        <v>527</v>
      </c>
    </row>
    <row r="60" spans="2:28" s="85" customFormat="1" ht="278.25" customHeight="1">
      <c r="B60" s="423"/>
      <c r="C60" s="74" t="s">
        <v>435</v>
      </c>
      <c r="D60" s="111" t="s">
        <v>436</v>
      </c>
      <c r="E60" s="90">
        <v>34288</v>
      </c>
      <c r="F60" s="74" t="s">
        <v>437</v>
      </c>
      <c r="G60" s="75">
        <v>3339.8512752961296</v>
      </c>
      <c r="H60" s="75">
        <v>8291.24</v>
      </c>
      <c r="I60" s="103" t="s">
        <v>458</v>
      </c>
      <c r="J60" s="103" t="s">
        <v>968</v>
      </c>
      <c r="K60" s="75">
        <v>13547.69</v>
      </c>
      <c r="L60" s="29">
        <v>12917.25</v>
      </c>
      <c r="M60" s="75">
        <v>3421.66</v>
      </c>
      <c r="N60" s="29">
        <v>9709</v>
      </c>
      <c r="O60" s="345">
        <v>0.7</v>
      </c>
      <c r="P60" s="229" t="s">
        <v>385</v>
      </c>
      <c r="Q60" s="27" t="s">
        <v>386</v>
      </c>
      <c r="R60" s="29"/>
      <c r="S60" s="29"/>
      <c r="T60" s="229"/>
      <c r="U60" s="27"/>
      <c r="V60" s="29"/>
      <c r="W60" s="29"/>
      <c r="X60" s="229"/>
      <c r="Y60" s="27"/>
      <c r="Z60" s="77">
        <f t="shared" si="4"/>
        <v>0.7516305715225764</v>
      </c>
      <c r="AA60" s="77" t="s">
        <v>68</v>
      </c>
      <c r="AB60" s="77" t="s">
        <v>527</v>
      </c>
    </row>
    <row r="61" spans="2:28" s="85" customFormat="1" ht="132">
      <c r="B61" s="91" t="s">
        <v>438</v>
      </c>
      <c r="C61" s="74" t="s">
        <v>439</v>
      </c>
      <c r="D61" s="74" t="s">
        <v>440</v>
      </c>
      <c r="E61" s="90">
        <v>503</v>
      </c>
      <c r="F61" s="74" t="s">
        <v>441</v>
      </c>
      <c r="G61" s="75">
        <v>126.0691262984</v>
      </c>
      <c r="H61" s="75">
        <v>240.11</v>
      </c>
      <c r="I61" s="103" t="s">
        <v>456</v>
      </c>
      <c r="J61" s="103" t="s">
        <v>575</v>
      </c>
      <c r="K61" s="75">
        <v>77.1</v>
      </c>
      <c r="L61" s="29">
        <v>62</v>
      </c>
      <c r="M61" s="75">
        <v>0</v>
      </c>
      <c r="N61" s="29">
        <v>36</v>
      </c>
      <c r="O61" s="345">
        <v>0.03</v>
      </c>
      <c r="P61" s="27" t="s">
        <v>387</v>
      </c>
      <c r="Q61" s="27" t="s">
        <v>388</v>
      </c>
      <c r="R61" s="29"/>
      <c r="S61" s="29"/>
      <c r="T61" s="27"/>
      <c r="U61" s="27"/>
      <c r="V61" s="29"/>
      <c r="W61" s="29"/>
      <c r="X61" s="27"/>
      <c r="Y61" s="27"/>
      <c r="Z61" s="77">
        <f t="shared" si="4"/>
        <v>0.5806451612903226</v>
      </c>
      <c r="AA61" s="77" t="s">
        <v>69</v>
      </c>
      <c r="AB61" s="77" t="s">
        <v>527</v>
      </c>
    </row>
    <row r="62" spans="2:28" s="85" customFormat="1" ht="125.25" customHeight="1">
      <c r="B62" s="100" t="s">
        <v>877</v>
      </c>
      <c r="C62" s="112" t="s">
        <v>435</v>
      </c>
      <c r="D62" s="88"/>
      <c r="E62" s="101">
        <v>82820</v>
      </c>
      <c r="F62" s="89" t="s">
        <v>442</v>
      </c>
      <c r="G62" s="75">
        <v>0</v>
      </c>
      <c r="H62" s="75">
        <v>0</v>
      </c>
      <c r="I62" s="103"/>
      <c r="J62" s="103"/>
      <c r="K62" s="75"/>
      <c r="L62" s="29"/>
      <c r="M62" s="103"/>
      <c r="N62" s="27"/>
      <c r="O62" s="345"/>
      <c r="P62" s="27"/>
      <c r="Q62" s="27"/>
      <c r="R62" s="27"/>
      <c r="S62" s="27"/>
      <c r="T62" s="27"/>
      <c r="U62" s="27"/>
      <c r="V62" s="27"/>
      <c r="W62" s="27"/>
      <c r="X62" s="27"/>
      <c r="Y62" s="27"/>
      <c r="Z62" s="77">
        <f t="shared" si="4"/>
        <v>1</v>
      </c>
      <c r="AA62" s="77"/>
      <c r="AB62" s="77"/>
    </row>
    <row r="63" spans="2:28" s="85" customFormat="1" ht="115.5">
      <c r="B63" s="453" t="s">
        <v>479</v>
      </c>
      <c r="C63" s="454" t="s">
        <v>459</v>
      </c>
      <c r="D63" s="454" t="s">
        <v>460</v>
      </c>
      <c r="E63" s="90">
        <v>20590</v>
      </c>
      <c r="F63" s="74" t="s">
        <v>461</v>
      </c>
      <c r="G63" s="75">
        <v>3228.0078290943</v>
      </c>
      <c r="H63" s="75">
        <v>4223.85</v>
      </c>
      <c r="I63" s="103" t="s">
        <v>456</v>
      </c>
      <c r="J63" s="103" t="s">
        <v>576</v>
      </c>
      <c r="K63" s="75">
        <v>2886.09</v>
      </c>
      <c r="L63" s="29">
        <v>2886.09</v>
      </c>
      <c r="M63" s="75">
        <v>214.69</v>
      </c>
      <c r="N63" s="29">
        <v>823</v>
      </c>
      <c r="O63" s="345">
        <v>1</v>
      </c>
      <c r="P63" s="27" t="s">
        <v>389</v>
      </c>
      <c r="Q63" s="27" t="s">
        <v>390</v>
      </c>
      <c r="R63" s="29"/>
      <c r="S63" s="29"/>
      <c r="T63" s="27"/>
      <c r="U63" s="27"/>
      <c r="V63" s="29"/>
      <c r="W63" s="29"/>
      <c r="X63" s="27"/>
      <c r="Y63" s="27"/>
      <c r="Z63" s="77">
        <f t="shared" si="4"/>
        <v>0.2851608924184623</v>
      </c>
      <c r="AA63" s="77" t="s">
        <v>68</v>
      </c>
      <c r="AB63" s="77" t="s">
        <v>527</v>
      </c>
    </row>
    <row r="64" spans="2:28" s="85" customFormat="1" ht="115.5">
      <c r="B64" s="453"/>
      <c r="C64" s="454"/>
      <c r="D64" s="454"/>
      <c r="E64" s="90">
        <v>23370</v>
      </c>
      <c r="F64" s="74" t="s">
        <v>462</v>
      </c>
      <c r="G64" s="75">
        <v>7930.1834512884</v>
      </c>
      <c r="H64" s="75">
        <v>4424.96</v>
      </c>
      <c r="I64" s="103" t="s">
        <v>456</v>
      </c>
      <c r="J64" s="103" t="s">
        <v>577</v>
      </c>
      <c r="K64" s="75">
        <v>3733.36</v>
      </c>
      <c r="L64" s="29">
        <v>3733.36</v>
      </c>
      <c r="M64" s="75">
        <v>708.54</v>
      </c>
      <c r="N64" s="29">
        <v>1842</v>
      </c>
      <c r="O64" s="345">
        <v>0.96</v>
      </c>
      <c r="P64" s="27" t="s">
        <v>391</v>
      </c>
      <c r="Q64" s="27" t="s">
        <v>392</v>
      </c>
      <c r="R64" s="29"/>
      <c r="S64" s="29"/>
      <c r="T64" s="27"/>
      <c r="U64" s="27"/>
      <c r="V64" s="29"/>
      <c r="W64" s="29"/>
      <c r="X64" s="27"/>
      <c r="Y64" s="27"/>
      <c r="Z64" s="77">
        <f t="shared" si="4"/>
        <v>0.4933893329333362</v>
      </c>
      <c r="AA64" s="77" t="s">
        <v>68</v>
      </c>
      <c r="AB64" s="77" t="s">
        <v>527</v>
      </c>
    </row>
    <row r="65" spans="2:28" s="85" customFormat="1" ht="132">
      <c r="B65" s="453"/>
      <c r="C65" s="454"/>
      <c r="D65" s="454"/>
      <c r="E65" s="90">
        <v>7124</v>
      </c>
      <c r="F65" s="74" t="s">
        <v>463</v>
      </c>
      <c r="G65" s="75">
        <v>0</v>
      </c>
      <c r="H65" s="75">
        <v>3115.94</v>
      </c>
      <c r="I65" s="103" t="s">
        <v>456</v>
      </c>
      <c r="J65" s="103" t="s">
        <v>578</v>
      </c>
      <c r="K65" s="75">
        <v>933.34</v>
      </c>
      <c r="L65" s="29">
        <v>933.34</v>
      </c>
      <c r="M65" s="75">
        <v>41.84</v>
      </c>
      <c r="N65" s="29">
        <v>548</v>
      </c>
      <c r="O65" s="345">
        <v>0.662</v>
      </c>
      <c r="P65" s="27" t="s">
        <v>393</v>
      </c>
      <c r="Q65" s="27" t="s">
        <v>388</v>
      </c>
      <c r="R65" s="29"/>
      <c r="S65" s="29"/>
      <c r="T65" s="27"/>
      <c r="U65" s="27"/>
      <c r="V65" s="29"/>
      <c r="W65" s="29"/>
      <c r="X65" s="27"/>
      <c r="Y65" s="27"/>
      <c r="Z65" s="77">
        <f t="shared" si="4"/>
        <v>0.5871386632952622</v>
      </c>
      <c r="AA65" s="77" t="s">
        <v>68</v>
      </c>
      <c r="AB65" s="77" t="s">
        <v>527</v>
      </c>
    </row>
    <row r="66" spans="2:28" ht="16.5">
      <c r="B66" s="80" t="s">
        <v>209</v>
      </c>
      <c r="C66" s="80"/>
      <c r="D66" s="80"/>
      <c r="E66" s="60">
        <f>SUM(E57:E65)</f>
        <v>255121</v>
      </c>
      <c r="F66" s="80"/>
      <c r="G66" s="60">
        <f>SUM(G57:G65)</f>
        <v>40808.6755161335</v>
      </c>
      <c r="H66" s="60">
        <f>SUM(H57:H65)</f>
        <v>39684.19</v>
      </c>
      <c r="I66" s="80"/>
      <c r="J66" s="80"/>
      <c r="K66" s="60">
        <f aca="true" t="shared" si="5" ref="K66:V66">SUM(K57:K65)</f>
        <v>39844.39</v>
      </c>
      <c r="L66" s="60">
        <f t="shared" si="5"/>
        <v>39552.27</v>
      </c>
      <c r="M66" s="60">
        <f t="shared" si="5"/>
        <v>7827.44</v>
      </c>
      <c r="N66" s="60">
        <f t="shared" si="5"/>
        <v>26227</v>
      </c>
      <c r="O66" s="60"/>
      <c r="P66" s="80"/>
      <c r="Q66" s="80"/>
      <c r="R66" s="60">
        <f t="shared" si="5"/>
        <v>0</v>
      </c>
      <c r="S66" s="60"/>
      <c r="T66" s="80"/>
      <c r="U66" s="80"/>
      <c r="V66" s="60">
        <f t="shared" si="5"/>
        <v>0</v>
      </c>
      <c r="W66" s="60"/>
      <c r="X66" s="80"/>
      <c r="Y66" s="80"/>
      <c r="Z66" s="243">
        <f>+IF(L66=0,1,(IF(N66=0,M66/L66,N66/L66)))</f>
        <v>0.6630972128780472</v>
      </c>
      <c r="AA66" s="243"/>
      <c r="AB66" s="243"/>
    </row>
    <row r="67" spans="2:28" ht="27" customHeight="1">
      <c r="B67" s="80" t="s">
        <v>404</v>
      </c>
      <c r="C67" s="80"/>
      <c r="D67" s="80"/>
      <c r="E67" s="60">
        <f>+E66+E55</f>
        <v>1035223.2654029219</v>
      </c>
      <c r="F67" s="80"/>
      <c r="G67" s="60">
        <f>+G66+G55</f>
        <v>213628.80765517807</v>
      </c>
      <c r="H67" s="60">
        <f>+H66+H55</f>
        <v>254454.98307080078</v>
      </c>
      <c r="I67" s="80"/>
      <c r="J67" s="80"/>
      <c r="K67" s="60">
        <f aca="true" t="shared" si="6" ref="K67:V67">+K66+K55</f>
        <v>268844.1897443679</v>
      </c>
      <c r="L67" s="60">
        <f t="shared" si="6"/>
        <v>277364.082143</v>
      </c>
      <c r="M67" s="60">
        <f t="shared" si="6"/>
        <v>198940.66113700002</v>
      </c>
      <c r="N67" s="60">
        <f t="shared" si="6"/>
        <v>242832.202938</v>
      </c>
      <c r="O67" s="60"/>
      <c r="P67" s="80"/>
      <c r="Q67" s="80"/>
      <c r="R67" s="60">
        <f t="shared" si="6"/>
        <v>0</v>
      </c>
      <c r="S67" s="60"/>
      <c r="T67" s="80"/>
      <c r="U67" s="80"/>
      <c r="V67" s="60">
        <f t="shared" si="6"/>
        <v>0</v>
      </c>
      <c r="W67" s="60"/>
      <c r="X67" s="80"/>
      <c r="Y67" s="80"/>
      <c r="Z67" s="250">
        <f>+IF(L67=0,1,(IF(N67=0,M67/L67,N67/L67)))</f>
        <v>0.8754998162047657</v>
      </c>
      <c r="AA67" s="250"/>
      <c r="AB67" s="250"/>
    </row>
    <row r="68" spans="2:28" ht="26.25" customHeight="1">
      <c r="B68" s="67" t="s">
        <v>464</v>
      </c>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row>
    <row r="69" spans="2:28" ht="22.5" customHeight="1">
      <c r="B69" s="69" t="s">
        <v>465</v>
      </c>
      <c r="C69" s="71"/>
      <c r="D69" s="71"/>
      <c r="E69" s="71"/>
      <c r="F69" s="71"/>
      <c r="G69" s="72"/>
      <c r="H69" s="114"/>
      <c r="I69" s="71"/>
      <c r="J69" s="71"/>
      <c r="K69" s="71"/>
      <c r="L69" s="71"/>
      <c r="M69" s="71"/>
      <c r="N69" s="71"/>
      <c r="O69" s="71"/>
      <c r="P69" s="71"/>
      <c r="Q69" s="71"/>
      <c r="R69" s="71"/>
      <c r="S69" s="71"/>
      <c r="T69" s="71"/>
      <c r="U69" s="71"/>
      <c r="V69" s="71"/>
      <c r="W69" s="71"/>
      <c r="X69" s="71"/>
      <c r="Y69" s="71"/>
      <c r="Z69" s="251"/>
      <c r="AA69" s="251"/>
      <c r="AB69" s="251"/>
    </row>
    <row r="70" spans="2:28" s="115" customFormat="1" ht="381.75" customHeight="1">
      <c r="B70" s="178" t="s">
        <v>466</v>
      </c>
      <c r="C70" s="178" t="s">
        <v>467</v>
      </c>
      <c r="D70" s="179" t="s">
        <v>431</v>
      </c>
      <c r="E70" s="180">
        <f>3082+2971</f>
        <v>6053</v>
      </c>
      <c r="F70" s="178" t="s">
        <v>467</v>
      </c>
      <c r="G70" s="75">
        <v>292</v>
      </c>
      <c r="H70" s="75">
        <v>881</v>
      </c>
      <c r="I70" s="183" t="s">
        <v>259</v>
      </c>
      <c r="J70" s="179" t="s">
        <v>949</v>
      </c>
      <c r="K70" s="208">
        <v>787391000</v>
      </c>
      <c r="L70" s="208">
        <v>772427005.13343</v>
      </c>
      <c r="M70" s="208">
        <v>238229532.228196</v>
      </c>
      <c r="N70" s="208">
        <v>241560201.48866</v>
      </c>
      <c r="O70" s="208"/>
      <c r="P70" s="333" t="s">
        <v>638</v>
      </c>
      <c r="Q70" s="334" t="s">
        <v>639</v>
      </c>
      <c r="R70" s="208"/>
      <c r="S70" s="208"/>
      <c r="T70" s="183"/>
      <c r="U70" s="200"/>
      <c r="V70" s="208"/>
      <c r="W70" s="208"/>
      <c r="X70" s="183"/>
      <c r="Y70" s="200"/>
      <c r="Z70" s="247">
        <f>+IF(L70=0,1,(IF(N70=0,M70/L70,N70/L70)))</f>
        <v>0.31272884024417635</v>
      </c>
      <c r="AA70" s="334" t="s">
        <v>640</v>
      </c>
      <c r="AB70" s="334" t="s">
        <v>527</v>
      </c>
    </row>
    <row r="71" spans="2:28" s="123" customFormat="1" ht="341.25" customHeight="1">
      <c r="B71" s="189" t="s">
        <v>877</v>
      </c>
      <c r="C71" s="189" t="s">
        <v>173</v>
      </c>
      <c r="D71" s="183" t="s">
        <v>432</v>
      </c>
      <c r="E71" s="209">
        <f>16105+1257+266</f>
        <v>17628</v>
      </c>
      <c r="F71" s="189" t="s">
        <v>173</v>
      </c>
      <c r="G71" s="75">
        <v>2013</v>
      </c>
      <c r="H71" s="75">
        <v>583</v>
      </c>
      <c r="I71" s="201" t="s">
        <v>260</v>
      </c>
      <c r="J71" s="201" t="s">
        <v>950</v>
      </c>
      <c r="K71" s="208">
        <v>2540967000</v>
      </c>
      <c r="L71" s="335">
        <v>2620967000</v>
      </c>
      <c r="M71" s="208">
        <v>0</v>
      </c>
      <c r="N71" s="208">
        <v>30000000</v>
      </c>
      <c r="O71" s="208"/>
      <c r="P71" s="220" t="s">
        <v>220</v>
      </c>
      <c r="Q71" s="336" t="s">
        <v>221</v>
      </c>
      <c r="R71" s="208"/>
      <c r="S71" s="208"/>
      <c r="T71" s="183"/>
      <c r="U71" s="183"/>
      <c r="V71" s="208"/>
      <c r="W71" s="208"/>
      <c r="X71" s="183"/>
      <c r="Y71" s="183"/>
      <c r="Z71" s="77">
        <f aca="true" t="shared" si="7" ref="Z71:Z117">+IF(L71=0,1,(IF(N71=0,M71/L71,N71/L71)))</f>
        <v>0.011446157086296775</v>
      </c>
      <c r="AA71" s="336" t="s">
        <v>222</v>
      </c>
      <c r="AB71" s="336" t="s">
        <v>527</v>
      </c>
    </row>
    <row r="72" spans="2:28" s="115" customFormat="1" ht="304.5" customHeight="1">
      <c r="B72" s="178" t="s">
        <v>877</v>
      </c>
      <c r="C72" s="178" t="s">
        <v>173</v>
      </c>
      <c r="D72" s="183" t="s">
        <v>433</v>
      </c>
      <c r="E72" s="180">
        <f>11147+1824</f>
        <v>12971</v>
      </c>
      <c r="F72" s="178" t="s">
        <v>173</v>
      </c>
      <c r="G72" s="75">
        <v>275</v>
      </c>
      <c r="H72" s="75">
        <v>7329</v>
      </c>
      <c r="I72" s="191" t="s">
        <v>261</v>
      </c>
      <c r="J72" s="191" t="s">
        <v>951</v>
      </c>
      <c r="K72" s="208">
        <v>11291604309</v>
      </c>
      <c r="L72" s="335">
        <v>12336122988</v>
      </c>
      <c r="M72" s="208">
        <v>8278048581</v>
      </c>
      <c r="N72" s="208">
        <v>11278012581</v>
      </c>
      <c r="O72" s="208"/>
      <c r="P72" s="201" t="s">
        <v>223</v>
      </c>
      <c r="Q72" s="191" t="s">
        <v>224</v>
      </c>
      <c r="R72" s="208"/>
      <c r="S72" s="208"/>
      <c r="T72" s="201"/>
      <c r="U72" s="191"/>
      <c r="V72" s="208"/>
      <c r="W72" s="208"/>
      <c r="X72" s="201"/>
      <c r="Y72" s="191"/>
      <c r="Z72" s="77">
        <f t="shared" si="7"/>
        <v>0.9142266652148913</v>
      </c>
      <c r="AA72" s="336" t="s">
        <v>225</v>
      </c>
      <c r="AB72" s="336" t="s">
        <v>527</v>
      </c>
    </row>
    <row r="73" spans="2:28" s="115" customFormat="1" ht="309" customHeight="1">
      <c r="B73" s="178" t="s">
        <v>627</v>
      </c>
      <c r="C73" s="178" t="s">
        <v>628</v>
      </c>
      <c r="D73" s="179" t="s">
        <v>434</v>
      </c>
      <c r="E73" s="180">
        <v>4133</v>
      </c>
      <c r="F73" s="178" t="s">
        <v>628</v>
      </c>
      <c r="G73" s="75">
        <v>434</v>
      </c>
      <c r="H73" s="75">
        <v>455</v>
      </c>
      <c r="I73" s="192" t="s">
        <v>813</v>
      </c>
      <c r="J73" s="196" t="s">
        <v>434</v>
      </c>
      <c r="K73" s="208">
        <v>317007000</v>
      </c>
      <c r="L73" s="208">
        <v>317007000</v>
      </c>
      <c r="M73" s="208">
        <v>53368306</v>
      </c>
      <c r="N73" s="231">
        <v>59750598.2948992</v>
      </c>
      <c r="O73" s="231"/>
      <c r="P73" s="210" t="s">
        <v>226</v>
      </c>
      <c r="Q73" s="210" t="s">
        <v>227</v>
      </c>
      <c r="R73" s="231"/>
      <c r="S73" s="231"/>
      <c r="T73" s="210"/>
      <c r="U73" s="210"/>
      <c r="V73" s="231"/>
      <c r="W73" s="231"/>
      <c r="X73" s="210"/>
      <c r="Y73" s="210"/>
      <c r="Z73" s="77">
        <f t="shared" si="7"/>
        <v>0.1884835296851464</v>
      </c>
      <c r="AA73" s="191" t="s">
        <v>228</v>
      </c>
      <c r="AB73" s="191" t="s">
        <v>527</v>
      </c>
    </row>
    <row r="74" spans="2:28" s="115" customFormat="1" ht="363" customHeight="1">
      <c r="B74" s="178" t="s">
        <v>466</v>
      </c>
      <c r="C74" s="178" t="s">
        <v>467</v>
      </c>
      <c r="D74" s="179" t="s">
        <v>586</v>
      </c>
      <c r="E74" s="184">
        <f>3907+11835</f>
        <v>15742</v>
      </c>
      <c r="F74" s="178" t="s">
        <v>467</v>
      </c>
      <c r="G74" s="75">
        <v>0</v>
      </c>
      <c r="H74" s="75">
        <v>3710</v>
      </c>
      <c r="I74" s="193" t="s">
        <v>814</v>
      </c>
      <c r="J74" s="193" t="s">
        <v>952</v>
      </c>
      <c r="K74" s="208">
        <v>3102296000</v>
      </c>
      <c r="L74" s="208">
        <v>3103351400</v>
      </c>
      <c r="M74" s="208">
        <v>971125977.53364</v>
      </c>
      <c r="N74" s="208">
        <v>985169998.769592</v>
      </c>
      <c r="O74" s="208"/>
      <c r="P74" s="211" t="s">
        <v>87</v>
      </c>
      <c r="Q74" s="212" t="s">
        <v>88</v>
      </c>
      <c r="R74" s="208"/>
      <c r="S74" s="208"/>
      <c r="T74" s="211"/>
      <c r="U74" s="212"/>
      <c r="V74" s="208"/>
      <c r="W74" s="208"/>
      <c r="X74" s="211"/>
      <c r="Y74" s="212"/>
      <c r="Z74" s="77">
        <f t="shared" si="7"/>
        <v>0.3174535757599323</v>
      </c>
      <c r="AA74" s="334" t="s">
        <v>319</v>
      </c>
      <c r="AB74" s="334" t="s">
        <v>527</v>
      </c>
    </row>
    <row r="75" spans="2:28" s="115" customFormat="1" ht="324.75" customHeight="1">
      <c r="B75" s="178" t="s">
        <v>627</v>
      </c>
      <c r="C75" s="178" t="s">
        <v>467</v>
      </c>
      <c r="D75" s="179" t="s">
        <v>487</v>
      </c>
      <c r="E75" s="184">
        <f>994+1200</f>
        <v>2194</v>
      </c>
      <c r="F75" s="178" t="s">
        <v>467</v>
      </c>
      <c r="G75" s="75">
        <v>78</v>
      </c>
      <c r="H75" s="75">
        <v>218</v>
      </c>
      <c r="I75" s="194" t="s">
        <v>815</v>
      </c>
      <c r="J75" s="183" t="s">
        <v>953</v>
      </c>
      <c r="K75" s="208">
        <v>241370000</v>
      </c>
      <c r="L75" s="335">
        <v>459230447</v>
      </c>
      <c r="M75" s="208">
        <v>73005111.8511</v>
      </c>
      <c r="N75" s="208">
        <v>143614605.119933</v>
      </c>
      <c r="O75" s="208"/>
      <c r="P75" s="334" t="s">
        <v>89</v>
      </c>
      <c r="Q75" s="355" t="s">
        <v>90</v>
      </c>
      <c r="R75" s="208"/>
      <c r="S75" s="208"/>
      <c r="T75" s="213"/>
      <c r="U75" s="212"/>
      <c r="V75" s="208"/>
      <c r="W75" s="208"/>
      <c r="X75" s="213"/>
      <c r="Y75" s="212"/>
      <c r="Z75" s="77">
        <f t="shared" si="7"/>
        <v>0.31272884029819786</v>
      </c>
      <c r="AA75" s="334" t="s">
        <v>320</v>
      </c>
      <c r="AB75" s="334" t="s">
        <v>527</v>
      </c>
    </row>
    <row r="76" spans="2:28" s="115" customFormat="1" ht="291" customHeight="1">
      <c r="B76" s="178" t="s">
        <v>627</v>
      </c>
      <c r="C76" s="178" t="s">
        <v>587</v>
      </c>
      <c r="D76" s="179" t="s">
        <v>487</v>
      </c>
      <c r="E76" s="180">
        <f>217+1450</f>
        <v>1667</v>
      </c>
      <c r="F76" s="178" t="s">
        <v>587</v>
      </c>
      <c r="G76" s="75">
        <v>0</v>
      </c>
      <c r="H76" s="75">
        <v>344</v>
      </c>
      <c r="I76" s="183" t="s">
        <v>816</v>
      </c>
      <c r="J76" s="183" t="s">
        <v>954</v>
      </c>
      <c r="K76" s="208">
        <v>241370000</v>
      </c>
      <c r="L76" s="208">
        <v>221650000</v>
      </c>
      <c r="M76" s="208">
        <v>73005111.8511</v>
      </c>
      <c r="N76" s="208">
        <v>74974019.2238323</v>
      </c>
      <c r="O76" s="356" t="s">
        <v>91</v>
      </c>
      <c r="P76" s="182" t="s">
        <v>92</v>
      </c>
      <c r="Q76" s="356" t="s">
        <v>92</v>
      </c>
      <c r="R76" s="208"/>
      <c r="S76" s="208"/>
      <c r="T76" s="179"/>
      <c r="U76" s="179"/>
      <c r="V76" s="208"/>
      <c r="W76" s="208"/>
      <c r="X76" s="179"/>
      <c r="Y76" s="179"/>
      <c r="Z76" s="77">
        <f t="shared" si="7"/>
        <v>0.33825409079103225</v>
      </c>
      <c r="AA76" s="356" t="s">
        <v>321</v>
      </c>
      <c r="AB76" s="356" t="s">
        <v>527</v>
      </c>
    </row>
    <row r="77" spans="2:28" s="115" customFormat="1" ht="240.75" customHeight="1">
      <c r="B77" s="178" t="s">
        <v>627</v>
      </c>
      <c r="C77" s="178" t="s">
        <v>588</v>
      </c>
      <c r="D77" s="179" t="s">
        <v>488</v>
      </c>
      <c r="E77" s="180">
        <v>6961</v>
      </c>
      <c r="F77" s="178" t="s">
        <v>588</v>
      </c>
      <c r="G77" s="75">
        <v>420</v>
      </c>
      <c r="H77" s="75">
        <v>1195</v>
      </c>
      <c r="I77" s="195" t="s">
        <v>817</v>
      </c>
      <c r="J77" s="195" t="s">
        <v>955</v>
      </c>
      <c r="K77" s="208">
        <f>1735897000-K78</f>
        <v>1715734000</v>
      </c>
      <c r="L77" s="208">
        <f>1735897000-L78</f>
        <v>1715734000</v>
      </c>
      <c r="M77" s="208">
        <f>528726418.814058-M78</f>
        <v>522585044.96495026</v>
      </c>
      <c r="N77" s="208">
        <v>523000000</v>
      </c>
      <c r="O77" s="357" t="s">
        <v>93</v>
      </c>
      <c r="P77" s="195" t="s">
        <v>94</v>
      </c>
      <c r="Q77" s="195" t="s">
        <v>95</v>
      </c>
      <c r="R77" s="208"/>
      <c r="S77" s="208"/>
      <c r="T77" s="195"/>
      <c r="U77" s="195"/>
      <c r="V77" s="208"/>
      <c r="W77" s="208"/>
      <c r="X77" s="195"/>
      <c r="Y77" s="195"/>
      <c r="Z77" s="77">
        <f t="shared" si="7"/>
        <v>0.3048258063312845</v>
      </c>
      <c r="AA77" s="357" t="s">
        <v>322</v>
      </c>
      <c r="AB77" s="357" t="s">
        <v>527</v>
      </c>
    </row>
    <row r="78" spans="2:28" s="115" customFormat="1" ht="216.75">
      <c r="B78" s="178" t="s">
        <v>627</v>
      </c>
      <c r="C78" s="178" t="s">
        <v>588</v>
      </c>
      <c r="D78" s="183" t="s">
        <v>418</v>
      </c>
      <c r="E78" s="180">
        <f>69+2212+128</f>
        <v>2409</v>
      </c>
      <c r="F78" s="178" t="s">
        <v>588</v>
      </c>
      <c r="G78" s="75">
        <v>0</v>
      </c>
      <c r="H78" s="75">
        <v>563</v>
      </c>
      <c r="I78" s="195" t="s">
        <v>818</v>
      </c>
      <c r="J78" s="195" t="s">
        <v>956</v>
      </c>
      <c r="K78" s="208">
        <v>20163000</v>
      </c>
      <c r="L78" s="208">
        <v>20163000</v>
      </c>
      <c r="M78" s="208">
        <v>6141373.849107724</v>
      </c>
      <c r="N78" s="208">
        <v>6141373.84910772</v>
      </c>
      <c r="O78" s="357" t="s">
        <v>96</v>
      </c>
      <c r="P78" s="195" t="s">
        <v>97</v>
      </c>
      <c r="Q78" s="195" t="s">
        <v>98</v>
      </c>
      <c r="R78" s="208"/>
      <c r="S78" s="208"/>
      <c r="T78" s="195"/>
      <c r="U78" s="195"/>
      <c r="V78" s="208"/>
      <c r="W78" s="208"/>
      <c r="X78" s="195"/>
      <c r="Y78" s="195"/>
      <c r="Z78" s="77">
        <f t="shared" si="7"/>
        <v>0.304586313996316</v>
      </c>
      <c r="AA78" s="357" t="s">
        <v>323</v>
      </c>
      <c r="AB78" s="357" t="s">
        <v>527</v>
      </c>
    </row>
    <row r="79" spans="2:28" s="115" customFormat="1" ht="168" customHeight="1">
      <c r="B79" s="178" t="s">
        <v>627</v>
      </c>
      <c r="C79" s="178" t="s">
        <v>588</v>
      </c>
      <c r="D79" s="179" t="s">
        <v>419</v>
      </c>
      <c r="E79" s="180">
        <v>1819</v>
      </c>
      <c r="F79" s="178" t="s">
        <v>588</v>
      </c>
      <c r="G79" s="75">
        <v>105</v>
      </c>
      <c r="H79" s="75">
        <v>308</v>
      </c>
      <c r="I79" s="195" t="s">
        <v>448</v>
      </c>
      <c r="J79" s="195" t="s">
        <v>957</v>
      </c>
      <c r="K79" s="208">
        <v>345964000</v>
      </c>
      <c r="L79" s="208">
        <v>345964000</v>
      </c>
      <c r="M79" s="208">
        <v>105375100.261235</v>
      </c>
      <c r="N79" s="208">
        <v>105375100</v>
      </c>
      <c r="O79" s="357" t="s">
        <v>99</v>
      </c>
      <c r="P79" s="195" t="s">
        <v>100</v>
      </c>
      <c r="Q79" s="195" t="s">
        <v>101</v>
      </c>
      <c r="R79" s="208"/>
      <c r="S79" s="208"/>
      <c r="T79" s="195"/>
      <c r="U79" s="195"/>
      <c r="V79" s="208"/>
      <c r="W79" s="208"/>
      <c r="X79" s="195"/>
      <c r="Y79" s="195"/>
      <c r="Z79" s="77">
        <f t="shared" si="7"/>
        <v>0.30458400295984556</v>
      </c>
      <c r="AA79" s="357" t="s">
        <v>323</v>
      </c>
      <c r="AB79" s="357" t="s">
        <v>527</v>
      </c>
    </row>
    <row r="80" spans="2:28" s="115" customFormat="1" ht="173.25" customHeight="1">
      <c r="B80" s="179" t="s">
        <v>589</v>
      </c>
      <c r="C80" s="185" t="s">
        <v>420</v>
      </c>
      <c r="D80" s="179" t="s">
        <v>695</v>
      </c>
      <c r="E80" s="181">
        <v>227045</v>
      </c>
      <c r="F80" s="185" t="s">
        <v>420</v>
      </c>
      <c r="G80" s="75">
        <v>24127</v>
      </c>
      <c r="H80" s="75">
        <f>72583+399</f>
        <v>72982</v>
      </c>
      <c r="I80" s="179" t="s">
        <v>449</v>
      </c>
      <c r="J80" s="179" t="s">
        <v>958</v>
      </c>
      <c r="K80" s="208">
        <v>74328000000</v>
      </c>
      <c r="L80" s="208">
        <v>74328000000</v>
      </c>
      <c r="M80" s="208">
        <v>18950000000</v>
      </c>
      <c r="N80" s="208">
        <v>18950000000</v>
      </c>
      <c r="O80" s="208" t="s">
        <v>102</v>
      </c>
      <c r="P80" s="202" t="s">
        <v>103</v>
      </c>
      <c r="Q80" s="202" t="s">
        <v>104</v>
      </c>
      <c r="R80" s="208"/>
      <c r="S80" s="208"/>
      <c r="T80" s="202"/>
      <c r="U80" s="202"/>
      <c r="V80" s="208"/>
      <c r="W80" s="208"/>
      <c r="X80" s="202"/>
      <c r="Y80" s="202"/>
      <c r="Z80" s="77">
        <f t="shared" si="7"/>
        <v>0.2549510278764396</v>
      </c>
      <c r="AA80" s="358" t="s">
        <v>324</v>
      </c>
      <c r="AB80" s="358" t="s">
        <v>527</v>
      </c>
    </row>
    <row r="81" spans="2:28" s="115" customFormat="1" ht="144" customHeight="1">
      <c r="B81" s="179" t="s">
        <v>589</v>
      </c>
      <c r="C81" s="185" t="s">
        <v>420</v>
      </c>
      <c r="D81" s="179" t="s">
        <v>696</v>
      </c>
      <c r="E81" s="181">
        <v>15599.2739091035</v>
      </c>
      <c r="F81" s="185" t="s">
        <v>420</v>
      </c>
      <c r="G81" s="75">
        <v>640</v>
      </c>
      <c r="H81" s="75">
        <v>1471</v>
      </c>
      <c r="I81" s="179" t="s">
        <v>450</v>
      </c>
      <c r="J81" s="179" t="s">
        <v>959</v>
      </c>
      <c r="K81" s="208">
        <v>751870000</v>
      </c>
      <c r="L81" s="208">
        <v>751870000</v>
      </c>
      <c r="M81" s="208">
        <v>0</v>
      </c>
      <c r="N81" s="208">
        <v>0</v>
      </c>
      <c r="O81" s="208" t="s">
        <v>105</v>
      </c>
      <c r="P81" s="195" t="s">
        <v>106</v>
      </c>
      <c r="Q81" s="203" t="s">
        <v>107</v>
      </c>
      <c r="R81" s="208"/>
      <c r="S81" s="208"/>
      <c r="T81" s="195"/>
      <c r="U81" s="203"/>
      <c r="V81" s="208"/>
      <c r="W81" s="208"/>
      <c r="X81" s="195"/>
      <c r="Y81" s="203"/>
      <c r="Z81" s="77">
        <f t="shared" si="7"/>
        <v>0</v>
      </c>
      <c r="AA81" s="358" t="s">
        <v>325</v>
      </c>
      <c r="AB81" s="358" t="s">
        <v>527</v>
      </c>
    </row>
    <row r="82" spans="2:28" s="115" customFormat="1" ht="357" customHeight="1">
      <c r="B82" s="178" t="s">
        <v>627</v>
      </c>
      <c r="C82" s="178" t="s">
        <v>590</v>
      </c>
      <c r="D82" s="179" t="s">
        <v>591</v>
      </c>
      <c r="E82" s="181">
        <v>27221</v>
      </c>
      <c r="F82" s="178" t="s">
        <v>590</v>
      </c>
      <c r="G82" s="75">
        <v>4891</v>
      </c>
      <c r="H82" s="75">
        <v>16526</v>
      </c>
      <c r="I82" s="186" t="s">
        <v>451</v>
      </c>
      <c r="J82" s="186" t="s">
        <v>960</v>
      </c>
      <c r="K82" s="208">
        <v>13720000000</v>
      </c>
      <c r="L82" s="335">
        <v>14418250000</v>
      </c>
      <c r="M82" s="208">
        <v>4639513595</v>
      </c>
      <c r="N82" s="208">
        <v>4639513595</v>
      </c>
      <c r="O82" s="208" t="s">
        <v>108</v>
      </c>
      <c r="P82" s="186" t="s">
        <v>109</v>
      </c>
      <c r="Q82" s="186" t="s">
        <v>110</v>
      </c>
      <c r="R82" s="208"/>
      <c r="S82" s="208"/>
      <c r="T82" s="186"/>
      <c r="U82" s="186"/>
      <c r="V82" s="208"/>
      <c r="W82" s="208"/>
      <c r="X82" s="186"/>
      <c r="Y82" s="186"/>
      <c r="Z82" s="77">
        <f t="shared" si="7"/>
        <v>0.32178063183812183</v>
      </c>
      <c r="AA82" s="186" t="s">
        <v>326</v>
      </c>
      <c r="AB82" s="186" t="s">
        <v>527</v>
      </c>
    </row>
    <row r="83" spans="2:28" s="115" customFormat="1" ht="268.5" customHeight="1">
      <c r="B83" s="178" t="s">
        <v>627</v>
      </c>
      <c r="C83" s="178" t="s">
        <v>628</v>
      </c>
      <c r="D83" s="179" t="s">
        <v>431</v>
      </c>
      <c r="E83" s="180">
        <f>0+1240+1404</f>
        <v>2644</v>
      </c>
      <c r="F83" s="178" t="s">
        <v>628</v>
      </c>
      <c r="G83" s="75">
        <v>222</v>
      </c>
      <c r="H83" s="75">
        <v>421</v>
      </c>
      <c r="I83" s="186" t="s">
        <v>929</v>
      </c>
      <c r="J83" s="186" t="s">
        <v>961</v>
      </c>
      <c r="K83" s="208">
        <v>221438000</v>
      </c>
      <c r="L83" s="208">
        <v>221438000</v>
      </c>
      <c r="M83" s="208">
        <v>37279211.2166071</v>
      </c>
      <c r="N83" s="208">
        <v>41737284</v>
      </c>
      <c r="O83" s="208" t="s">
        <v>111</v>
      </c>
      <c r="P83" s="179" t="s">
        <v>112</v>
      </c>
      <c r="Q83" s="214" t="s">
        <v>113</v>
      </c>
      <c r="R83" s="208"/>
      <c r="S83" s="208"/>
      <c r="T83" s="179"/>
      <c r="U83" s="214"/>
      <c r="V83" s="208"/>
      <c r="W83" s="208"/>
      <c r="X83" s="179"/>
      <c r="Y83" s="214"/>
      <c r="Z83" s="77">
        <f t="shared" si="7"/>
        <v>0.18848293427505666</v>
      </c>
      <c r="AA83" s="214" t="s">
        <v>327</v>
      </c>
      <c r="AB83" s="214" t="s">
        <v>328</v>
      </c>
    </row>
    <row r="84" spans="2:28" s="115" customFormat="1" ht="295.5" customHeight="1">
      <c r="B84" s="178" t="s">
        <v>627</v>
      </c>
      <c r="C84" s="178" t="s">
        <v>467</v>
      </c>
      <c r="D84" s="179" t="s">
        <v>697</v>
      </c>
      <c r="E84" s="184">
        <f>2762+5543</f>
        <v>8305</v>
      </c>
      <c r="F84" s="178" t="s">
        <v>467</v>
      </c>
      <c r="G84" s="75">
        <v>83</v>
      </c>
      <c r="H84" s="75">
        <v>881</v>
      </c>
      <c r="I84" s="196" t="s">
        <v>930</v>
      </c>
      <c r="J84" s="196" t="s">
        <v>697</v>
      </c>
      <c r="K84" s="208">
        <v>787391000</v>
      </c>
      <c r="L84" s="208">
        <v>772427005.13343</v>
      </c>
      <c r="M84" s="208">
        <v>238229532.228196</v>
      </c>
      <c r="N84" s="208">
        <v>241560201</v>
      </c>
      <c r="O84" s="208" t="s">
        <v>114</v>
      </c>
      <c r="P84" s="215" t="s">
        <v>117</v>
      </c>
      <c r="Q84" s="204" t="s">
        <v>116</v>
      </c>
      <c r="R84" s="208"/>
      <c r="S84" s="208"/>
      <c r="T84" s="215"/>
      <c r="U84" s="204"/>
      <c r="V84" s="208"/>
      <c r="W84" s="208"/>
      <c r="X84" s="215"/>
      <c r="Y84" s="204"/>
      <c r="Z84" s="77">
        <f t="shared" si="7"/>
        <v>0.31272883961154696</v>
      </c>
      <c r="AA84" s="334" t="s">
        <v>329</v>
      </c>
      <c r="AB84" s="334" t="s">
        <v>527</v>
      </c>
    </row>
    <row r="85" spans="2:28" s="115" customFormat="1" ht="210" customHeight="1">
      <c r="B85" s="178" t="s">
        <v>627</v>
      </c>
      <c r="C85" s="178" t="s">
        <v>628</v>
      </c>
      <c r="D85" s="179" t="s">
        <v>697</v>
      </c>
      <c r="E85" s="180">
        <f>1240+3364</f>
        <v>4604</v>
      </c>
      <c r="F85" s="178" t="s">
        <v>628</v>
      </c>
      <c r="G85" s="75">
        <v>440</v>
      </c>
      <c r="H85" s="75">
        <v>683</v>
      </c>
      <c r="I85" s="196" t="s">
        <v>931</v>
      </c>
      <c r="J85" s="196" t="s">
        <v>697</v>
      </c>
      <c r="K85" s="208">
        <v>348128000</v>
      </c>
      <c r="L85" s="208">
        <v>348128000</v>
      </c>
      <c r="M85" s="208">
        <v>58607543.6122752</v>
      </c>
      <c r="N85" s="208">
        <v>65616187</v>
      </c>
      <c r="O85" s="208" t="s">
        <v>114</v>
      </c>
      <c r="P85" s="212" t="s">
        <v>115</v>
      </c>
      <c r="Q85" s="216" t="s">
        <v>118</v>
      </c>
      <c r="R85" s="208"/>
      <c r="S85" s="208"/>
      <c r="T85" s="212"/>
      <c r="U85" s="216"/>
      <c r="V85" s="208"/>
      <c r="W85" s="208"/>
      <c r="X85" s="212"/>
      <c r="Y85" s="216"/>
      <c r="Z85" s="77">
        <f t="shared" si="7"/>
        <v>0.1884829344379079</v>
      </c>
      <c r="AA85" s="214" t="s">
        <v>145</v>
      </c>
      <c r="AB85" s="214" t="s">
        <v>328</v>
      </c>
    </row>
    <row r="86" spans="2:28" s="115" customFormat="1" ht="245.25" customHeight="1">
      <c r="B86" s="178" t="s">
        <v>627</v>
      </c>
      <c r="C86" s="178" t="s">
        <v>702</v>
      </c>
      <c r="D86" s="179" t="s">
        <v>698</v>
      </c>
      <c r="E86" s="180">
        <f>1317+1356+1248+1317</f>
        <v>5238</v>
      </c>
      <c r="F86" s="178" t="s">
        <v>702</v>
      </c>
      <c r="G86" s="75">
        <v>196</v>
      </c>
      <c r="H86" s="75">
        <v>1330</v>
      </c>
      <c r="I86" s="196" t="s">
        <v>932</v>
      </c>
      <c r="J86" s="196" t="s">
        <v>971</v>
      </c>
      <c r="K86" s="208">
        <v>20616000</v>
      </c>
      <c r="L86" s="208">
        <v>20616000</v>
      </c>
      <c r="M86" s="208">
        <v>20616000</v>
      </c>
      <c r="N86" s="208">
        <v>20616000</v>
      </c>
      <c r="O86" s="208" t="s">
        <v>119</v>
      </c>
      <c r="P86" s="217" t="s">
        <v>165</v>
      </c>
      <c r="Q86" s="213" t="s">
        <v>212</v>
      </c>
      <c r="R86" s="208"/>
      <c r="S86" s="208"/>
      <c r="T86" s="217"/>
      <c r="U86" s="213"/>
      <c r="V86" s="208"/>
      <c r="W86" s="208"/>
      <c r="X86" s="217"/>
      <c r="Y86" s="213"/>
      <c r="Z86" s="77">
        <f t="shared" si="7"/>
        <v>1</v>
      </c>
      <c r="AA86" s="367" t="s">
        <v>146</v>
      </c>
      <c r="AB86" s="368" t="s">
        <v>645</v>
      </c>
    </row>
    <row r="87" spans="2:28" s="115" customFormat="1" ht="287.25" customHeight="1">
      <c r="B87" s="178" t="s">
        <v>877</v>
      </c>
      <c r="C87" s="178" t="s">
        <v>173</v>
      </c>
      <c r="D87" s="179" t="s">
        <v>626</v>
      </c>
      <c r="E87" s="180">
        <f>0+31387+8194+3760+2326</f>
        <v>45667</v>
      </c>
      <c r="F87" s="178" t="s">
        <v>173</v>
      </c>
      <c r="G87" s="75">
        <v>3291</v>
      </c>
      <c r="H87" s="75">
        <v>8300</v>
      </c>
      <c r="I87" s="196" t="s">
        <v>933</v>
      </c>
      <c r="J87" s="196" t="s">
        <v>972</v>
      </c>
      <c r="K87" s="208">
        <v>8667428691</v>
      </c>
      <c r="L87" s="335">
        <v>10542910000</v>
      </c>
      <c r="M87" s="208">
        <v>4364291690</v>
      </c>
      <c r="N87" s="208">
        <v>4545366690</v>
      </c>
      <c r="O87" s="208" t="s">
        <v>213</v>
      </c>
      <c r="P87" s="196" t="s">
        <v>214</v>
      </c>
      <c r="Q87" s="196" t="s">
        <v>215</v>
      </c>
      <c r="R87" s="208"/>
      <c r="S87" s="208"/>
      <c r="T87" s="196"/>
      <c r="U87" s="196"/>
      <c r="V87" s="208"/>
      <c r="W87" s="208"/>
      <c r="X87" s="196"/>
      <c r="Y87" s="196"/>
      <c r="Z87" s="77">
        <f t="shared" si="7"/>
        <v>0.43113018037714446</v>
      </c>
      <c r="AA87" s="336" t="s">
        <v>147</v>
      </c>
      <c r="AB87" s="336" t="s">
        <v>527</v>
      </c>
    </row>
    <row r="88" spans="2:28" s="115" customFormat="1" ht="142.5" customHeight="1">
      <c r="B88" s="178" t="s">
        <v>627</v>
      </c>
      <c r="C88" s="178" t="s">
        <v>467</v>
      </c>
      <c r="D88" s="179" t="s">
        <v>250</v>
      </c>
      <c r="E88" s="184">
        <f>1265+1481+8294+3006+1008+5358+706+3953+3041+6730+7792+5872+5486+7508+1601+944+1172+2494+567+209+253+46+1592</f>
        <v>70378</v>
      </c>
      <c r="F88" s="178" t="s">
        <v>467</v>
      </c>
      <c r="G88" s="75">
        <v>4989</v>
      </c>
      <c r="H88" s="207">
        <v>9150</v>
      </c>
      <c r="I88" s="196" t="s">
        <v>934</v>
      </c>
      <c r="J88" s="196" t="s">
        <v>1053</v>
      </c>
      <c r="K88" s="370">
        <f>6519000000+7496169000</f>
        <v>14015169000</v>
      </c>
      <c r="L88" s="359">
        <f>5939983047+5944169000</f>
        <v>11884152047</v>
      </c>
      <c r="M88" s="371">
        <f>1785728546.10717+1901484952-14000000</f>
        <v>3673213498.10717</v>
      </c>
      <c r="N88" s="360">
        <f>1785728546.10717+1901484952-14000000</f>
        <v>3673213498.10717</v>
      </c>
      <c r="O88" s="191" t="s">
        <v>216</v>
      </c>
      <c r="P88" s="196" t="s">
        <v>217</v>
      </c>
      <c r="Q88" s="196" t="s">
        <v>218</v>
      </c>
      <c r="R88" s="208"/>
      <c r="S88" s="208"/>
      <c r="T88" s="196"/>
      <c r="U88" s="196"/>
      <c r="V88" s="208"/>
      <c r="W88" s="208"/>
      <c r="X88" s="196"/>
      <c r="Y88" s="196"/>
      <c r="Z88" s="77">
        <f t="shared" si="7"/>
        <v>0.30908503051628533</v>
      </c>
      <c r="AA88" s="191" t="s">
        <v>148</v>
      </c>
      <c r="AB88" s="191" t="s">
        <v>527</v>
      </c>
    </row>
    <row r="89" spans="2:28" s="115" customFormat="1" ht="360.75" customHeight="1">
      <c r="B89" s="178" t="s">
        <v>627</v>
      </c>
      <c r="C89" s="178" t="s">
        <v>467</v>
      </c>
      <c r="D89" s="179" t="s">
        <v>629</v>
      </c>
      <c r="E89" s="184">
        <v>8213</v>
      </c>
      <c r="F89" s="178" t="s">
        <v>467</v>
      </c>
      <c r="G89" s="75">
        <v>339</v>
      </c>
      <c r="H89" s="75">
        <v>1348</v>
      </c>
      <c r="I89" s="196" t="s">
        <v>935</v>
      </c>
      <c r="J89" s="196" t="s">
        <v>434</v>
      </c>
      <c r="K89" s="208">
        <v>921688000</v>
      </c>
      <c r="L89" s="208">
        <v>1335675748.33333</v>
      </c>
      <c r="M89" s="208">
        <v>411944956.11793</v>
      </c>
      <c r="N89" s="231">
        <v>432366842</v>
      </c>
      <c r="O89" s="231" t="s">
        <v>219</v>
      </c>
      <c r="P89" s="192" t="s">
        <v>0</v>
      </c>
      <c r="Q89" s="196" t="s">
        <v>1</v>
      </c>
      <c r="R89" s="231"/>
      <c r="S89" s="231"/>
      <c r="T89" s="192"/>
      <c r="U89" s="196"/>
      <c r="V89" s="231"/>
      <c r="W89" s="231"/>
      <c r="X89" s="192"/>
      <c r="Y89" s="196"/>
      <c r="Z89" s="77">
        <f t="shared" si="7"/>
        <v>0.32370644038383706</v>
      </c>
      <c r="AA89" s="361" t="s">
        <v>149</v>
      </c>
      <c r="AB89" s="361" t="s">
        <v>527</v>
      </c>
    </row>
    <row r="90" spans="2:28" s="115" customFormat="1" ht="143.25" customHeight="1">
      <c r="B90" s="178" t="s">
        <v>627</v>
      </c>
      <c r="C90" s="178" t="s">
        <v>467</v>
      </c>
      <c r="D90" s="179" t="s">
        <v>581</v>
      </c>
      <c r="E90" s="187">
        <v>19587</v>
      </c>
      <c r="F90" s="178" t="s">
        <v>467</v>
      </c>
      <c r="G90" s="75">
        <v>810</v>
      </c>
      <c r="H90" s="75">
        <v>2683</v>
      </c>
      <c r="I90" s="179" t="s">
        <v>936</v>
      </c>
      <c r="J90" s="179" t="s">
        <v>1054</v>
      </c>
      <c r="K90" s="208">
        <v>690268278.64073</v>
      </c>
      <c r="L90" s="208">
        <v>2238101440.33</v>
      </c>
      <c r="M90" s="208">
        <v>690268278.64073</v>
      </c>
      <c r="N90" s="208">
        <v>714581382</v>
      </c>
      <c r="O90" s="208" t="s">
        <v>2</v>
      </c>
      <c r="P90" s="183" t="s">
        <v>3</v>
      </c>
      <c r="Q90" s="196" t="s">
        <v>4</v>
      </c>
      <c r="R90" s="208"/>
      <c r="S90" s="208"/>
      <c r="T90" s="183"/>
      <c r="U90" s="196"/>
      <c r="V90" s="208"/>
      <c r="W90" s="208"/>
      <c r="X90" s="183"/>
      <c r="Y90" s="196"/>
      <c r="Z90" s="77">
        <f t="shared" si="7"/>
        <v>0.31928015822850175</v>
      </c>
      <c r="AA90" s="369" t="s">
        <v>150</v>
      </c>
      <c r="AB90" s="191" t="s">
        <v>527</v>
      </c>
    </row>
    <row r="91" spans="2:28" s="115" customFormat="1" ht="216.75">
      <c r="B91" s="178" t="s">
        <v>627</v>
      </c>
      <c r="C91" s="178" t="s">
        <v>628</v>
      </c>
      <c r="D91" s="179" t="s">
        <v>582</v>
      </c>
      <c r="E91" s="180">
        <f>0+1329+358+137</f>
        <v>1824</v>
      </c>
      <c r="F91" s="178" t="s">
        <v>628</v>
      </c>
      <c r="G91" s="75">
        <v>121</v>
      </c>
      <c r="H91" s="75">
        <v>192</v>
      </c>
      <c r="I91" s="197" t="s">
        <v>937</v>
      </c>
      <c r="J91" s="197" t="s">
        <v>1055</v>
      </c>
      <c r="K91" s="208">
        <v>446466000</v>
      </c>
      <c r="L91" s="208">
        <v>165908000</v>
      </c>
      <c r="M91" s="208">
        <v>27930705</v>
      </c>
      <c r="N91" s="208">
        <v>31270826.7990402</v>
      </c>
      <c r="O91" s="208" t="s">
        <v>5</v>
      </c>
      <c r="P91" s="197" t="s">
        <v>6</v>
      </c>
      <c r="Q91" s="197" t="s">
        <v>7</v>
      </c>
      <c r="R91" s="208"/>
      <c r="S91" s="208"/>
      <c r="T91" s="197"/>
      <c r="U91" s="197"/>
      <c r="V91" s="208"/>
      <c r="W91" s="208"/>
      <c r="X91" s="197"/>
      <c r="Y91" s="197"/>
      <c r="Z91" s="77">
        <f t="shared" si="7"/>
        <v>0.18848293511488415</v>
      </c>
      <c r="AA91" s="362" t="s">
        <v>151</v>
      </c>
      <c r="AB91" s="362" t="s">
        <v>527</v>
      </c>
    </row>
    <row r="92" spans="2:28" s="115" customFormat="1" ht="199.5" customHeight="1">
      <c r="B92" s="178" t="s">
        <v>466</v>
      </c>
      <c r="C92" s="178" t="s">
        <v>467</v>
      </c>
      <c r="D92" s="183" t="s">
        <v>251</v>
      </c>
      <c r="E92" s="184">
        <v>5882</v>
      </c>
      <c r="F92" s="178" t="s">
        <v>467</v>
      </c>
      <c r="G92" s="75">
        <v>228</v>
      </c>
      <c r="H92" s="75">
        <v>769</v>
      </c>
      <c r="I92" s="182" t="s">
        <v>938</v>
      </c>
      <c r="J92" s="183" t="s">
        <v>1056</v>
      </c>
      <c r="K92" s="208">
        <v>836771000</v>
      </c>
      <c r="L92" s="208">
        <v>839747679.833333</v>
      </c>
      <c r="M92" s="208">
        <v>258992365.138568</v>
      </c>
      <c r="N92" s="208">
        <v>262613318.109502</v>
      </c>
      <c r="O92" s="363" t="s">
        <v>8</v>
      </c>
      <c r="P92" s="183" t="s">
        <v>9</v>
      </c>
      <c r="Q92" s="204" t="s">
        <v>10</v>
      </c>
      <c r="R92" s="208"/>
      <c r="S92" s="208"/>
      <c r="T92" s="183"/>
      <c r="U92" s="204"/>
      <c r="V92" s="208"/>
      <c r="W92" s="208"/>
      <c r="X92" s="183"/>
      <c r="Y92" s="204"/>
      <c r="Z92" s="77">
        <f t="shared" si="7"/>
        <v>0.31272884036026577</v>
      </c>
      <c r="AA92" s="362" t="s">
        <v>151</v>
      </c>
      <c r="AB92" s="191" t="s">
        <v>527</v>
      </c>
    </row>
    <row r="93" spans="2:28" s="115" customFormat="1" ht="204.75" customHeight="1">
      <c r="B93" s="178" t="s">
        <v>466</v>
      </c>
      <c r="C93" s="178" t="s">
        <v>467</v>
      </c>
      <c r="D93" s="179" t="s">
        <v>583</v>
      </c>
      <c r="E93" s="184">
        <v>1040</v>
      </c>
      <c r="F93" s="178" t="s">
        <v>467</v>
      </c>
      <c r="G93" s="75">
        <v>33</v>
      </c>
      <c r="H93" s="75">
        <v>82</v>
      </c>
      <c r="I93" s="198" t="s">
        <v>1074</v>
      </c>
      <c r="J93" s="179" t="s">
        <v>1057</v>
      </c>
      <c r="K93" s="208">
        <v>270100000</v>
      </c>
      <c r="L93" s="208">
        <v>270100250.00000006</v>
      </c>
      <c r="M93" s="208">
        <v>83303478.2375372</v>
      </c>
      <c r="N93" s="208">
        <v>84468137.9467532</v>
      </c>
      <c r="O93" s="363" t="s">
        <v>11</v>
      </c>
      <c r="P93" s="183" t="s">
        <v>12</v>
      </c>
      <c r="Q93" s="196" t="s">
        <v>13</v>
      </c>
      <c r="R93" s="208"/>
      <c r="S93" s="208"/>
      <c r="T93" s="183"/>
      <c r="U93" s="196"/>
      <c r="V93" s="208"/>
      <c r="W93" s="208"/>
      <c r="X93" s="183"/>
      <c r="Y93" s="196"/>
      <c r="Z93" s="77">
        <f t="shared" si="7"/>
        <v>0.31272884029819736</v>
      </c>
      <c r="AA93" s="334" t="s">
        <v>152</v>
      </c>
      <c r="AB93" s="334" t="s">
        <v>527</v>
      </c>
    </row>
    <row r="94" spans="2:28" s="115" customFormat="1" ht="295.5" customHeight="1">
      <c r="B94" s="178" t="s">
        <v>466</v>
      </c>
      <c r="C94" s="178" t="s">
        <v>628</v>
      </c>
      <c r="D94" s="179" t="s">
        <v>583</v>
      </c>
      <c r="E94" s="188">
        <f>2337+922+4788+301</f>
        <v>8348</v>
      </c>
      <c r="F94" s="178" t="s">
        <v>628</v>
      </c>
      <c r="G94" s="75">
        <v>678</v>
      </c>
      <c r="H94" s="75">
        <v>1205</v>
      </c>
      <c r="I94" s="179" t="s">
        <v>1075</v>
      </c>
      <c r="J94" s="179" t="s">
        <v>1057</v>
      </c>
      <c r="K94" s="208">
        <v>1419616000</v>
      </c>
      <c r="L94" s="208">
        <v>1357651000</v>
      </c>
      <c r="M94" s="208">
        <v>228561305.590901</v>
      </c>
      <c r="N94" s="208">
        <v>255894045.341658</v>
      </c>
      <c r="O94" s="201" t="s">
        <v>14</v>
      </c>
      <c r="P94" s="204" t="s">
        <v>15</v>
      </c>
      <c r="Q94" s="196" t="s">
        <v>16</v>
      </c>
      <c r="R94" s="208"/>
      <c r="S94" s="208"/>
      <c r="T94" s="204"/>
      <c r="U94" s="196"/>
      <c r="V94" s="208"/>
      <c r="W94" s="208"/>
      <c r="X94" s="204"/>
      <c r="Y94" s="196"/>
      <c r="Z94" s="77">
        <f t="shared" si="7"/>
        <v>0.18848293511488445</v>
      </c>
      <c r="AA94" s="362" t="s">
        <v>151</v>
      </c>
      <c r="AB94" s="191" t="s">
        <v>328</v>
      </c>
    </row>
    <row r="95" spans="2:28" s="123" customFormat="1" ht="181.5" customHeight="1">
      <c r="B95" s="189" t="s">
        <v>466</v>
      </c>
      <c r="C95" s="189" t="s">
        <v>587</v>
      </c>
      <c r="D95" s="183" t="s">
        <v>252</v>
      </c>
      <c r="E95" s="209">
        <v>2901</v>
      </c>
      <c r="F95" s="189" t="s">
        <v>587</v>
      </c>
      <c r="G95" s="75">
        <v>0</v>
      </c>
      <c r="H95" s="75">
        <v>835</v>
      </c>
      <c r="I95" s="183" t="s">
        <v>1076</v>
      </c>
      <c r="J95" s="183" t="s">
        <v>1058</v>
      </c>
      <c r="K95" s="208">
        <v>289000000</v>
      </c>
      <c r="L95" s="208">
        <v>269800000</v>
      </c>
      <c r="M95" s="208">
        <v>88000000</v>
      </c>
      <c r="N95" s="208">
        <v>90994108.8015742</v>
      </c>
      <c r="O95" s="336" t="s">
        <v>17</v>
      </c>
      <c r="P95" s="221" t="s">
        <v>18</v>
      </c>
      <c r="Q95" s="204" t="s">
        <v>19</v>
      </c>
      <c r="R95" s="208"/>
      <c r="S95" s="208"/>
      <c r="T95" s="221"/>
      <c r="U95" s="204"/>
      <c r="V95" s="208"/>
      <c r="W95" s="208"/>
      <c r="X95" s="221"/>
      <c r="Y95" s="204"/>
      <c r="Z95" s="77">
        <f t="shared" si="7"/>
        <v>0.3372650437419355</v>
      </c>
      <c r="AA95" s="336" t="s">
        <v>153</v>
      </c>
      <c r="AB95" s="336" t="s">
        <v>154</v>
      </c>
    </row>
    <row r="96" spans="2:28" s="115" customFormat="1" ht="390.75" customHeight="1">
      <c r="B96" s="178" t="s">
        <v>466</v>
      </c>
      <c r="C96" s="178" t="s">
        <v>587</v>
      </c>
      <c r="D96" s="179" t="s">
        <v>583</v>
      </c>
      <c r="E96" s="180">
        <f>4342+1439</f>
        <v>5781</v>
      </c>
      <c r="F96" s="178" t="s">
        <v>587</v>
      </c>
      <c r="G96" s="75">
        <v>389</v>
      </c>
      <c r="H96" s="75">
        <v>1079</v>
      </c>
      <c r="I96" s="179" t="s">
        <v>939</v>
      </c>
      <c r="J96" s="179" t="s">
        <v>1057</v>
      </c>
      <c r="K96" s="208">
        <v>540008000</v>
      </c>
      <c r="L96" s="208">
        <v>540000000</v>
      </c>
      <c r="M96" s="208">
        <v>177662789.6796</v>
      </c>
      <c r="N96" s="208">
        <v>182123123.620645</v>
      </c>
      <c r="O96" s="364" t="s">
        <v>20</v>
      </c>
      <c r="P96" s="205" t="s">
        <v>21</v>
      </c>
      <c r="Q96" s="204" t="s">
        <v>22</v>
      </c>
      <c r="R96" s="208"/>
      <c r="S96" s="208"/>
      <c r="T96" s="205"/>
      <c r="U96" s="204"/>
      <c r="V96" s="208"/>
      <c r="W96" s="208"/>
      <c r="X96" s="205"/>
      <c r="Y96" s="204"/>
      <c r="Z96" s="77">
        <f t="shared" si="7"/>
        <v>0.33726504374193517</v>
      </c>
      <c r="AA96" s="362" t="s">
        <v>151</v>
      </c>
      <c r="AB96" s="201" t="s">
        <v>527</v>
      </c>
    </row>
    <row r="97" spans="2:28" s="123" customFormat="1" ht="172.5" customHeight="1">
      <c r="B97" s="189" t="s">
        <v>466</v>
      </c>
      <c r="C97" s="189" t="s">
        <v>912</v>
      </c>
      <c r="D97" s="183" t="s">
        <v>586</v>
      </c>
      <c r="E97" s="209">
        <f>0+989</f>
        <v>989</v>
      </c>
      <c r="F97" s="189" t="s">
        <v>912</v>
      </c>
      <c r="G97" s="75">
        <v>126</v>
      </c>
      <c r="H97" s="75">
        <v>271</v>
      </c>
      <c r="I97" s="218" t="s">
        <v>940</v>
      </c>
      <c r="J97" s="219" t="s">
        <v>1059</v>
      </c>
      <c r="K97" s="208">
        <v>1816357900</v>
      </c>
      <c r="L97" s="208">
        <v>1816357900</v>
      </c>
      <c r="M97" s="208">
        <v>583113099.5</v>
      </c>
      <c r="N97" s="208">
        <v>583113100</v>
      </c>
      <c r="O97" s="336" t="s">
        <v>23</v>
      </c>
      <c r="P97" s="220" t="s">
        <v>24</v>
      </c>
      <c r="Q97" s="204" t="s">
        <v>25</v>
      </c>
      <c r="R97" s="208"/>
      <c r="S97" s="208"/>
      <c r="T97" s="183"/>
      <c r="U97" s="204"/>
      <c r="V97" s="208"/>
      <c r="W97" s="208"/>
      <c r="X97" s="183"/>
      <c r="Y97" s="204"/>
      <c r="Z97" s="77">
        <f t="shared" si="7"/>
        <v>0.3210342521151806</v>
      </c>
      <c r="AA97" s="336" t="s">
        <v>155</v>
      </c>
      <c r="AB97" s="336" t="s">
        <v>527</v>
      </c>
    </row>
    <row r="98" spans="2:28" s="123" customFormat="1" ht="144" customHeight="1">
      <c r="B98" s="189" t="s">
        <v>627</v>
      </c>
      <c r="C98" s="189" t="s">
        <v>628</v>
      </c>
      <c r="D98" s="183" t="s">
        <v>252</v>
      </c>
      <c r="E98" s="209">
        <f>0+206+2901-2901</f>
        <v>206</v>
      </c>
      <c r="F98" s="189" t="s">
        <v>628</v>
      </c>
      <c r="G98" s="75">
        <v>18</v>
      </c>
      <c r="H98" s="75">
        <f>1015-429-406</f>
        <v>180</v>
      </c>
      <c r="I98" s="220" t="s">
        <v>941</v>
      </c>
      <c r="J98" s="220" t="s">
        <v>1058</v>
      </c>
      <c r="K98" s="208">
        <v>141682000</v>
      </c>
      <c r="L98" s="208">
        <v>141682000</v>
      </c>
      <c r="M98" s="208">
        <v>23852243.9851847</v>
      </c>
      <c r="N98" s="208">
        <v>26704639</v>
      </c>
      <c r="O98" s="365" t="s">
        <v>17</v>
      </c>
      <c r="P98" s="221" t="s">
        <v>26</v>
      </c>
      <c r="Q98" s="204" t="s">
        <v>27</v>
      </c>
      <c r="R98" s="208"/>
      <c r="S98" s="208"/>
      <c r="T98" s="221"/>
      <c r="U98" s="204"/>
      <c r="V98" s="208"/>
      <c r="W98" s="208"/>
      <c r="X98" s="221"/>
      <c r="Y98" s="204"/>
      <c r="Z98" s="77">
        <f t="shared" si="7"/>
        <v>0.18848293361189142</v>
      </c>
      <c r="AA98" s="336" t="s">
        <v>155</v>
      </c>
      <c r="AB98" s="365" t="s">
        <v>154</v>
      </c>
    </row>
    <row r="99" spans="2:28" s="115" customFormat="1" ht="156" customHeight="1">
      <c r="B99" s="189" t="s">
        <v>627</v>
      </c>
      <c r="C99" s="189" t="s">
        <v>628</v>
      </c>
      <c r="D99" s="183" t="s">
        <v>253</v>
      </c>
      <c r="E99" s="180">
        <f>0+645+645</f>
        <v>1290</v>
      </c>
      <c r="F99" s="189" t="s">
        <v>628</v>
      </c>
      <c r="G99" s="75">
        <v>116</v>
      </c>
      <c r="H99" s="75">
        <v>240</v>
      </c>
      <c r="I99" s="183" t="s">
        <v>942</v>
      </c>
      <c r="J99" s="183" t="s">
        <v>1066</v>
      </c>
      <c r="K99" s="208">
        <v>117075000</v>
      </c>
      <c r="L99" s="208">
        <v>117075000</v>
      </c>
      <c r="M99" s="208">
        <v>19709642</v>
      </c>
      <c r="N99" s="208">
        <v>22066640</v>
      </c>
      <c r="O99" s="365" t="s">
        <v>28</v>
      </c>
      <c r="P99" s="206" t="s">
        <v>29</v>
      </c>
      <c r="Q99" s="206" t="s">
        <v>30</v>
      </c>
      <c r="R99" s="208"/>
      <c r="S99" s="208"/>
      <c r="T99" s="206"/>
      <c r="U99" s="206"/>
      <c r="V99" s="208"/>
      <c r="W99" s="208"/>
      <c r="X99" s="206"/>
      <c r="Y99" s="206"/>
      <c r="Z99" s="77">
        <f t="shared" si="7"/>
        <v>0.1884829382874226</v>
      </c>
      <c r="AA99" s="365" t="s">
        <v>156</v>
      </c>
      <c r="AB99" s="365" t="s">
        <v>527</v>
      </c>
    </row>
    <row r="100" spans="2:28" s="115" customFormat="1" ht="312" customHeight="1">
      <c r="B100" s="178" t="s">
        <v>627</v>
      </c>
      <c r="C100" s="178" t="s">
        <v>467</v>
      </c>
      <c r="D100" s="179" t="s">
        <v>254</v>
      </c>
      <c r="E100" s="184">
        <v>6076</v>
      </c>
      <c r="F100" s="178" t="s">
        <v>467</v>
      </c>
      <c r="G100" s="75">
        <v>65</v>
      </c>
      <c r="H100" s="75">
        <v>382</v>
      </c>
      <c r="I100" s="182" t="s">
        <v>943</v>
      </c>
      <c r="J100" s="179" t="s">
        <v>1067</v>
      </c>
      <c r="K100" s="208">
        <v>283747000</v>
      </c>
      <c r="L100" s="208">
        <v>411196035.043768</v>
      </c>
      <c r="M100" s="208">
        <v>126819801.005849</v>
      </c>
      <c r="N100" s="208">
        <v>128592859</v>
      </c>
      <c r="O100" s="336" t="s">
        <v>8</v>
      </c>
      <c r="P100" s="196" t="s">
        <v>31</v>
      </c>
      <c r="Q100" s="196" t="s">
        <v>32</v>
      </c>
      <c r="R100" s="208"/>
      <c r="S100" s="208"/>
      <c r="T100" s="196"/>
      <c r="U100" s="196"/>
      <c r="V100" s="208"/>
      <c r="W100" s="208"/>
      <c r="X100" s="196"/>
      <c r="Y100" s="196"/>
      <c r="Z100" s="77">
        <f t="shared" si="7"/>
        <v>0.31272883987393624</v>
      </c>
      <c r="AA100" s="334" t="s">
        <v>157</v>
      </c>
      <c r="AB100" s="334" t="s">
        <v>527</v>
      </c>
    </row>
    <row r="101" spans="2:28" s="115" customFormat="1" ht="336.75" customHeight="1">
      <c r="B101" s="178" t="s">
        <v>627</v>
      </c>
      <c r="C101" s="178" t="s">
        <v>588</v>
      </c>
      <c r="D101" s="179" t="s">
        <v>255</v>
      </c>
      <c r="E101" s="180">
        <v>1351</v>
      </c>
      <c r="F101" s="178" t="s">
        <v>588</v>
      </c>
      <c r="G101" s="75">
        <v>62</v>
      </c>
      <c r="H101" s="75">
        <v>296</v>
      </c>
      <c r="I101" s="182" t="s">
        <v>944</v>
      </c>
      <c r="J101" s="179" t="s">
        <v>1068</v>
      </c>
      <c r="K101" s="208">
        <v>300968000</v>
      </c>
      <c r="L101" s="208">
        <v>300968000</v>
      </c>
      <c r="M101" s="208">
        <v>91670284.0779513</v>
      </c>
      <c r="N101" s="208">
        <v>91670284.0779513</v>
      </c>
      <c r="O101" s="366" t="s">
        <v>33</v>
      </c>
      <c r="P101" s="222" t="s">
        <v>34</v>
      </c>
      <c r="Q101" s="196" t="s">
        <v>35</v>
      </c>
      <c r="R101" s="208"/>
      <c r="S101" s="208"/>
      <c r="T101" s="222"/>
      <c r="U101" s="196"/>
      <c r="V101" s="208"/>
      <c r="W101" s="208"/>
      <c r="X101" s="222"/>
      <c r="Y101" s="196"/>
      <c r="Z101" s="77">
        <f t="shared" si="7"/>
        <v>0.30458481990760244</v>
      </c>
      <c r="AA101" s="357" t="s">
        <v>158</v>
      </c>
      <c r="AB101" s="357" t="s">
        <v>527</v>
      </c>
    </row>
    <row r="102" spans="2:28" s="115" customFormat="1" ht="288.75" customHeight="1">
      <c r="B102" s="178" t="s">
        <v>627</v>
      </c>
      <c r="C102" s="178" t="s">
        <v>886</v>
      </c>
      <c r="D102" s="183" t="s">
        <v>256</v>
      </c>
      <c r="E102" s="180">
        <v>622.1873933726738</v>
      </c>
      <c r="F102" s="178" t="s">
        <v>886</v>
      </c>
      <c r="G102" s="75">
        <v>0</v>
      </c>
      <c r="H102" s="75">
        <v>0</v>
      </c>
      <c r="I102" s="199"/>
      <c r="J102" s="183" t="s">
        <v>1069</v>
      </c>
      <c r="K102" s="208">
        <v>0</v>
      </c>
      <c r="L102" s="208">
        <v>0</v>
      </c>
      <c r="M102" s="208">
        <v>0</v>
      </c>
      <c r="N102" s="208">
        <v>0</v>
      </c>
      <c r="O102" s="191" t="s">
        <v>36</v>
      </c>
      <c r="P102" s="196" t="s">
        <v>37</v>
      </c>
      <c r="Q102" s="204" t="s">
        <v>38</v>
      </c>
      <c r="R102" s="208"/>
      <c r="S102" s="208"/>
      <c r="T102" s="196"/>
      <c r="U102" s="204"/>
      <c r="V102" s="208"/>
      <c r="W102" s="208"/>
      <c r="X102" s="196"/>
      <c r="Y102" s="204"/>
      <c r="Z102" s="77">
        <f t="shared" si="7"/>
        <v>1</v>
      </c>
      <c r="AA102" s="191" t="s">
        <v>159</v>
      </c>
      <c r="AB102" s="191" t="s">
        <v>160</v>
      </c>
    </row>
    <row r="103" spans="2:28" s="115" customFormat="1" ht="232.5" customHeight="1">
      <c r="B103" s="178" t="s">
        <v>627</v>
      </c>
      <c r="C103" s="178" t="s">
        <v>886</v>
      </c>
      <c r="D103" s="179" t="s">
        <v>580</v>
      </c>
      <c r="E103" s="180">
        <v>27230</v>
      </c>
      <c r="F103" s="178" t="s">
        <v>886</v>
      </c>
      <c r="G103" s="75">
        <v>2935</v>
      </c>
      <c r="H103" s="75">
        <v>0</v>
      </c>
      <c r="I103" s="179" t="s">
        <v>945</v>
      </c>
      <c r="J103" s="179" t="s">
        <v>1070</v>
      </c>
      <c r="K103" s="208">
        <v>1816357900</v>
      </c>
      <c r="L103" s="208">
        <v>1816357900</v>
      </c>
      <c r="M103" s="208">
        <v>583113099.5</v>
      </c>
      <c r="N103" s="208">
        <v>583113099.5</v>
      </c>
      <c r="O103" s="191" t="s">
        <v>39</v>
      </c>
      <c r="P103" s="196" t="s">
        <v>40</v>
      </c>
      <c r="Q103" s="196" t="s">
        <v>41</v>
      </c>
      <c r="R103" s="208"/>
      <c r="S103" s="208"/>
      <c r="T103" s="196"/>
      <c r="U103" s="196"/>
      <c r="V103" s="208"/>
      <c r="W103" s="208"/>
      <c r="X103" s="196"/>
      <c r="Y103" s="196"/>
      <c r="Z103" s="77">
        <f t="shared" si="7"/>
        <v>0.32103425183990447</v>
      </c>
      <c r="AA103" s="191" t="s">
        <v>161</v>
      </c>
      <c r="AB103" s="191" t="s">
        <v>527</v>
      </c>
    </row>
    <row r="104" spans="2:28" s="115" customFormat="1" ht="202.5" customHeight="1">
      <c r="B104" s="178" t="s">
        <v>627</v>
      </c>
      <c r="C104" s="178" t="s">
        <v>886</v>
      </c>
      <c r="D104" s="179" t="s">
        <v>885</v>
      </c>
      <c r="E104" s="180">
        <f>702515+6218</f>
        <v>708733</v>
      </c>
      <c r="F104" s="178" t="s">
        <v>886</v>
      </c>
      <c r="G104" s="75">
        <v>76418</v>
      </c>
      <c r="H104" s="75">
        <v>175265</v>
      </c>
      <c r="I104" s="179" t="s">
        <v>946</v>
      </c>
      <c r="J104" s="179" t="s">
        <v>1071</v>
      </c>
      <c r="K104" s="208">
        <v>182439092318</v>
      </c>
      <c r="L104" s="208">
        <v>182439092318</v>
      </c>
      <c r="M104" s="208">
        <v>45713131424</v>
      </c>
      <c r="N104" s="208">
        <v>62190607737</v>
      </c>
      <c r="O104" s="191" t="s">
        <v>42</v>
      </c>
      <c r="P104" s="196" t="s">
        <v>43</v>
      </c>
      <c r="Q104" s="196" t="s">
        <v>44</v>
      </c>
      <c r="R104" s="208"/>
      <c r="S104" s="208"/>
      <c r="T104" s="196"/>
      <c r="U104" s="196"/>
      <c r="V104" s="208"/>
      <c r="W104" s="208"/>
      <c r="X104" s="196"/>
      <c r="Y104" s="196"/>
      <c r="Z104" s="77">
        <f t="shared" si="7"/>
        <v>0.3408842202996648</v>
      </c>
      <c r="AA104" s="191" t="s">
        <v>162</v>
      </c>
      <c r="AB104" s="191" t="s">
        <v>328</v>
      </c>
    </row>
    <row r="105" spans="2:28" s="115" customFormat="1" ht="216.75">
      <c r="B105" s="178" t="s">
        <v>627</v>
      </c>
      <c r="C105" s="178" t="s">
        <v>628</v>
      </c>
      <c r="D105" s="190" t="s">
        <v>257</v>
      </c>
      <c r="E105" s="180">
        <v>1291</v>
      </c>
      <c r="F105" s="178" t="s">
        <v>628</v>
      </c>
      <c r="G105" s="75">
        <v>115</v>
      </c>
      <c r="H105" s="75">
        <v>168</v>
      </c>
      <c r="I105" s="179" t="s">
        <v>947</v>
      </c>
      <c r="J105" s="179" t="s">
        <v>1072</v>
      </c>
      <c r="K105" s="208">
        <v>321958000</v>
      </c>
      <c r="L105" s="208">
        <v>432078000</v>
      </c>
      <c r="M105" s="208">
        <v>72740573.0906582</v>
      </c>
      <c r="N105" s="232">
        <v>81439329.638569</v>
      </c>
      <c r="O105" s="365" t="s">
        <v>45</v>
      </c>
      <c r="P105" s="223" t="s">
        <v>315</v>
      </c>
      <c r="Q105" s="203" t="s">
        <v>316</v>
      </c>
      <c r="R105" s="232"/>
      <c r="S105" s="232"/>
      <c r="T105" s="223"/>
      <c r="U105" s="203"/>
      <c r="V105" s="232"/>
      <c r="W105" s="232"/>
      <c r="X105" s="223"/>
      <c r="Y105" s="203"/>
      <c r="Z105" s="77">
        <f t="shared" si="7"/>
        <v>0.18848293511488434</v>
      </c>
      <c r="AA105" s="365" t="s">
        <v>163</v>
      </c>
      <c r="AB105" s="365" t="s">
        <v>164</v>
      </c>
    </row>
    <row r="106" spans="2:28" s="115" customFormat="1" ht="234" customHeight="1">
      <c r="B106" s="178" t="s">
        <v>627</v>
      </c>
      <c r="C106" s="178" t="s">
        <v>628</v>
      </c>
      <c r="D106" s="190" t="s">
        <v>258</v>
      </c>
      <c r="E106" s="180">
        <v>1291</v>
      </c>
      <c r="F106" s="178" t="s">
        <v>628</v>
      </c>
      <c r="G106" s="75">
        <v>115</v>
      </c>
      <c r="H106" s="75">
        <v>168</v>
      </c>
      <c r="I106" s="179" t="s">
        <v>948</v>
      </c>
      <c r="J106" s="179" t="s">
        <v>1073</v>
      </c>
      <c r="K106" s="208">
        <v>279108000</v>
      </c>
      <c r="L106" s="208">
        <v>389227000</v>
      </c>
      <c r="M106" s="208">
        <v>65526583.2612575</v>
      </c>
      <c r="N106" s="232">
        <v>73362647.385961</v>
      </c>
      <c r="O106" s="365" t="s">
        <v>317</v>
      </c>
      <c r="P106" s="223" t="s">
        <v>318</v>
      </c>
      <c r="Q106" s="203" t="s">
        <v>316</v>
      </c>
      <c r="R106" s="232"/>
      <c r="S106" s="232"/>
      <c r="T106" s="223"/>
      <c r="U106" s="203"/>
      <c r="V106" s="232"/>
      <c r="W106" s="232"/>
      <c r="X106" s="223"/>
      <c r="Y106" s="203"/>
      <c r="Z106" s="77">
        <f t="shared" si="7"/>
        <v>0.18848293511488412</v>
      </c>
      <c r="AA106" s="365" t="s">
        <v>163</v>
      </c>
      <c r="AB106" s="365" t="s">
        <v>164</v>
      </c>
    </row>
    <row r="107" spans="2:29" s="117" customFormat="1" ht="50.25" customHeight="1">
      <c r="B107" s="456" t="s">
        <v>423</v>
      </c>
      <c r="C107" s="456"/>
      <c r="D107" s="118"/>
      <c r="E107" s="119">
        <f>SUM(E70:E106)</f>
        <v>1280933.461302476</v>
      </c>
      <c r="F107" s="119"/>
      <c r="G107" s="119">
        <f>SUM(G70:G106)</f>
        <v>125064</v>
      </c>
      <c r="H107" s="119">
        <f>SUM(H70:H106)</f>
        <v>312493</v>
      </c>
      <c r="I107" s="119"/>
      <c r="J107" s="119"/>
      <c r="K107" s="224">
        <f aca="true" t="shared" si="8" ref="K107:V107">SUM(K70:K106)</f>
        <v>326394170396.64075</v>
      </c>
      <c r="L107" s="224">
        <f t="shared" si="8"/>
        <v>330081426163.80725</v>
      </c>
      <c r="M107" s="224">
        <f t="shared" si="8"/>
        <v>91548975838.52974</v>
      </c>
      <c r="N107" s="224">
        <f t="shared" si="8"/>
        <v>111460204053.07484</v>
      </c>
      <c r="O107" s="224"/>
      <c r="P107" s="119"/>
      <c r="Q107" s="119"/>
      <c r="R107" s="224">
        <f t="shared" si="8"/>
        <v>0</v>
      </c>
      <c r="S107" s="224"/>
      <c r="T107" s="119"/>
      <c r="U107" s="119"/>
      <c r="V107" s="224">
        <f t="shared" si="8"/>
        <v>0</v>
      </c>
      <c r="W107" s="224"/>
      <c r="X107" s="119"/>
      <c r="Y107" s="119"/>
      <c r="Z107" s="77">
        <f t="shared" si="7"/>
        <v>0.3376748741922887</v>
      </c>
      <c r="AA107" s="77"/>
      <c r="AB107" s="77"/>
      <c r="AC107" s="120">
        <f>+H107-G118</f>
        <v>84506.51466666668</v>
      </c>
    </row>
    <row r="108" spans="2:28" s="121" customFormat="1" ht="191.25" customHeight="1">
      <c r="B108" s="88" t="s">
        <v>424</v>
      </c>
      <c r="C108" s="88">
        <v>337</v>
      </c>
      <c r="D108" s="122" t="s">
        <v>425</v>
      </c>
      <c r="E108" s="75">
        <v>798</v>
      </c>
      <c r="F108" s="89" t="s">
        <v>426</v>
      </c>
      <c r="G108" s="75">
        <v>798.136</v>
      </c>
      <c r="H108" s="75"/>
      <c r="I108" s="76"/>
      <c r="J108" s="76"/>
      <c r="K108" s="76"/>
      <c r="L108" s="76"/>
      <c r="M108" s="76"/>
      <c r="N108" s="76"/>
      <c r="O108" s="76"/>
      <c r="P108" s="76"/>
      <c r="Q108" s="76"/>
      <c r="R108" s="76"/>
      <c r="S108" s="76"/>
      <c r="T108" s="76"/>
      <c r="U108" s="76"/>
      <c r="V108" s="76"/>
      <c r="W108" s="76"/>
      <c r="X108" s="76"/>
      <c r="Y108" s="76"/>
      <c r="Z108" s="77">
        <f t="shared" si="7"/>
        <v>1</v>
      </c>
      <c r="AA108" s="77"/>
      <c r="AB108" s="77"/>
    </row>
    <row r="109" spans="2:28" s="123" customFormat="1" ht="66">
      <c r="B109" s="88" t="s">
        <v>424</v>
      </c>
      <c r="C109" s="88">
        <v>337</v>
      </c>
      <c r="D109" s="122" t="s">
        <v>427</v>
      </c>
      <c r="E109" s="75">
        <v>39.182</v>
      </c>
      <c r="F109" s="89" t="s">
        <v>426</v>
      </c>
      <c r="G109" s="75">
        <v>39.182</v>
      </c>
      <c r="H109" s="75"/>
      <c r="I109" s="76"/>
      <c r="J109" s="76"/>
      <c r="K109" s="76"/>
      <c r="L109" s="76"/>
      <c r="M109" s="76"/>
      <c r="N109" s="76"/>
      <c r="O109" s="76"/>
      <c r="P109" s="76"/>
      <c r="Q109" s="76"/>
      <c r="R109" s="76"/>
      <c r="S109" s="76"/>
      <c r="T109" s="76"/>
      <c r="U109" s="76"/>
      <c r="V109" s="76"/>
      <c r="W109" s="76"/>
      <c r="X109" s="76"/>
      <c r="Y109" s="76"/>
      <c r="Z109" s="77">
        <f t="shared" si="7"/>
        <v>1</v>
      </c>
      <c r="AA109" s="77"/>
      <c r="AB109" s="77"/>
    </row>
    <row r="110" spans="2:28" s="123" customFormat="1" ht="66">
      <c r="B110" s="88" t="s">
        <v>424</v>
      </c>
      <c r="C110" s="88">
        <v>337</v>
      </c>
      <c r="D110" s="122" t="s">
        <v>428</v>
      </c>
      <c r="E110" s="75">
        <v>1471.325</v>
      </c>
      <c r="F110" s="89" t="s">
        <v>426</v>
      </c>
      <c r="G110" s="75">
        <v>1471.325</v>
      </c>
      <c r="H110" s="75"/>
      <c r="I110" s="76"/>
      <c r="J110" s="76"/>
      <c r="K110" s="76"/>
      <c r="L110" s="76"/>
      <c r="M110" s="76"/>
      <c r="N110" s="76"/>
      <c r="O110" s="76"/>
      <c r="P110" s="76"/>
      <c r="Q110" s="76"/>
      <c r="R110" s="76"/>
      <c r="S110" s="76"/>
      <c r="T110" s="76"/>
      <c r="U110" s="76"/>
      <c r="V110" s="76"/>
      <c r="W110" s="76"/>
      <c r="X110" s="76"/>
      <c r="Y110" s="76"/>
      <c r="Z110" s="77">
        <f t="shared" si="7"/>
        <v>1</v>
      </c>
      <c r="AA110" s="77"/>
      <c r="AB110" s="77"/>
    </row>
    <row r="111" spans="2:28" s="123" customFormat="1" ht="49.5">
      <c r="B111" s="88" t="s">
        <v>424</v>
      </c>
      <c r="C111" s="88">
        <v>384</v>
      </c>
      <c r="D111" s="122" t="s">
        <v>429</v>
      </c>
      <c r="E111" s="75">
        <v>214.947666666667</v>
      </c>
      <c r="F111" s="89" t="s">
        <v>430</v>
      </c>
      <c r="G111" s="75">
        <v>214.947666666667</v>
      </c>
      <c r="H111" s="75"/>
      <c r="I111" s="76"/>
      <c r="J111" s="76"/>
      <c r="K111" s="76"/>
      <c r="L111" s="76"/>
      <c r="M111" s="76"/>
      <c r="N111" s="76"/>
      <c r="O111" s="76"/>
      <c r="P111" s="76"/>
      <c r="Q111" s="76"/>
      <c r="R111" s="76"/>
      <c r="S111" s="76"/>
      <c r="T111" s="76"/>
      <c r="U111" s="76"/>
      <c r="V111" s="76"/>
      <c r="W111" s="76"/>
      <c r="X111" s="76"/>
      <c r="Y111" s="76"/>
      <c r="Z111" s="77">
        <f t="shared" si="7"/>
        <v>1</v>
      </c>
      <c r="AA111" s="77"/>
      <c r="AB111" s="77"/>
    </row>
    <row r="112" spans="2:28" s="123" customFormat="1" ht="82.5">
      <c r="B112" s="88" t="s">
        <v>424</v>
      </c>
      <c r="C112" s="88">
        <v>384</v>
      </c>
      <c r="D112" s="122" t="s">
        <v>635</v>
      </c>
      <c r="E112" s="75">
        <v>214.947666666667</v>
      </c>
      <c r="F112" s="89" t="s">
        <v>430</v>
      </c>
      <c r="G112" s="75">
        <v>214.947</v>
      </c>
      <c r="H112" s="75"/>
      <c r="I112" s="76"/>
      <c r="J112" s="76"/>
      <c r="K112" s="76"/>
      <c r="L112" s="76"/>
      <c r="M112" s="76"/>
      <c r="N112" s="76"/>
      <c r="O112" s="76"/>
      <c r="P112" s="76"/>
      <c r="Q112" s="76"/>
      <c r="R112" s="76"/>
      <c r="S112" s="76"/>
      <c r="T112" s="76"/>
      <c r="U112" s="76"/>
      <c r="V112" s="76"/>
      <c r="W112" s="76"/>
      <c r="X112" s="76"/>
      <c r="Y112" s="76"/>
      <c r="Z112" s="77">
        <f t="shared" si="7"/>
        <v>1</v>
      </c>
      <c r="AA112" s="77"/>
      <c r="AB112" s="77"/>
    </row>
    <row r="113" spans="2:28" s="123" customFormat="1" ht="66">
      <c r="B113" s="88" t="s">
        <v>424</v>
      </c>
      <c r="C113" s="88">
        <v>384</v>
      </c>
      <c r="D113" s="122" t="s">
        <v>636</v>
      </c>
      <c r="E113" s="75">
        <v>214.947666666667</v>
      </c>
      <c r="F113" s="89" t="s">
        <v>430</v>
      </c>
      <c r="G113" s="75">
        <v>214.947666666667</v>
      </c>
      <c r="H113" s="75"/>
      <c r="I113" s="76"/>
      <c r="J113" s="76"/>
      <c r="K113" s="76"/>
      <c r="L113" s="76"/>
      <c r="M113" s="76"/>
      <c r="N113" s="76"/>
      <c r="O113" s="76"/>
      <c r="P113" s="76"/>
      <c r="Q113" s="76"/>
      <c r="R113" s="76"/>
      <c r="S113" s="76"/>
      <c r="T113" s="76"/>
      <c r="U113" s="76"/>
      <c r="V113" s="76"/>
      <c r="W113" s="76"/>
      <c r="X113" s="76"/>
      <c r="Y113" s="76"/>
      <c r="Z113" s="77">
        <f t="shared" si="7"/>
        <v>1</v>
      </c>
      <c r="AA113" s="77"/>
      <c r="AB113" s="77"/>
    </row>
    <row r="114" spans="2:28" s="123" customFormat="1" ht="66">
      <c r="B114" s="88" t="s">
        <v>424</v>
      </c>
      <c r="C114" s="88">
        <v>384</v>
      </c>
      <c r="D114" s="122" t="s">
        <v>637</v>
      </c>
      <c r="E114" s="75">
        <v>7993.675</v>
      </c>
      <c r="F114" s="89" t="s">
        <v>430</v>
      </c>
      <c r="G114" s="75">
        <v>390</v>
      </c>
      <c r="H114" s="75"/>
      <c r="I114" s="76"/>
      <c r="J114" s="76"/>
      <c r="K114" s="76"/>
      <c r="L114" s="76"/>
      <c r="M114" s="76"/>
      <c r="N114" s="76"/>
      <c r="O114" s="76"/>
      <c r="P114" s="76"/>
      <c r="Q114" s="76"/>
      <c r="R114" s="76"/>
      <c r="S114" s="76"/>
      <c r="T114" s="76"/>
      <c r="U114" s="76"/>
      <c r="V114" s="76"/>
      <c r="W114" s="76"/>
      <c r="X114" s="76"/>
      <c r="Y114" s="76"/>
      <c r="Z114" s="77">
        <f t="shared" si="7"/>
        <v>1</v>
      </c>
      <c r="AA114" s="77"/>
      <c r="AB114" s="77"/>
    </row>
    <row r="115" spans="2:28" s="123" customFormat="1" ht="119.25" customHeight="1">
      <c r="B115" s="88" t="s">
        <v>424</v>
      </c>
      <c r="C115" s="88">
        <v>385</v>
      </c>
      <c r="D115" s="122" t="s">
        <v>663</v>
      </c>
      <c r="E115" s="75">
        <v>75579</v>
      </c>
      <c r="F115" s="89" t="s">
        <v>664</v>
      </c>
      <c r="G115" s="75">
        <v>75579</v>
      </c>
      <c r="H115" s="75"/>
      <c r="I115" s="76"/>
      <c r="J115" s="76"/>
      <c r="K115" s="76"/>
      <c r="L115" s="76"/>
      <c r="M115" s="76"/>
      <c r="N115" s="76"/>
      <c r="O115" s="76"/>
      <c r="P115" s="76"/>
      <c r="Q115" s="76"/>
      <c r="R115" s="76"/>
      <c r="S115" s="76"/>
      <c r="T115" s="76"/>
      <c r="U115" s="76"/>
      <c r="V115" s="76"/>
      <c r="W115" s="76"/>
      <c r="X115" s="76"/>
      <c r="Y115" s="76"/>
      <c r="Z115" s="77">
        <f t="shared" si="7"/>
        <v>1</v>
      </c>
      <c r="AA115" s="77"/>
      <c r="AB115" s="77"/>
    </row>
    <row r="116" spans="2:28" s="123" customFormat="1" ht="82.5">
      <c r="B116" s="88" t="s">
        <v>424</v>
      </c>
      <c r="C116" s="88">
        <v>385</v>
      </c>
      <c r="D116" s="122" t="s">
        <v>665</v>
      </c>
      <c r="E116" s="75">
        <v>24000</v>
      </c>
      <c r="F116" s="89" t="s">
        <v>664</v>
      </c>
      <c r="G116" s="75">
        <v>24000</v>
      </c>
      <c r="H116" s="75"/>
      <c r="I116" s="76"/>
      <c r="J116" s="76"/>
      <c r="K116" s="76"/>
      <c r="L116" s="76"/>
      <c r="M116" s="76"/>
      <c r="N116" s="76"/>
      <c r="O116" s="76"/>
      <c r="P116" s="76"/>
      <c r="Q116" s="76"/>
      <c r="R116" s="76"/>
      <c r="S116" s="76"/>
      <c r="T116" s="76"/>
      <c r="U116" s="76"/>
      <c r="V116" s="76"/>
      <c r="W116" s="76"/>
      <c r="X116" s="76"/>
      <c r="Y116" s="76"/>
      <c r="Z116" s="77">
        <f t="shared" si="7"/>
        <v>1</v>
      </c>
      <c r="AA116" s="77"/>
      <c r="AB116" s="77"/>
    </row>
    <row r="117" spans="2:28" s="117" customFormat="1" ht="16.5">
      <c r="B117" s="456" t="s">
        <v>666</v>
      </c>
      <c r="C117" s="456"/>
      <c r="D117" s="118"/>
      <c r="E117" s="119">
        <f>SUM(E108:E116)</f>
        <v>110526.025</v>
      </c>
      <c r="F117" s="119"/>
      <c r="G117" s="119">
        <f>SUM(G108:G116)</f>
        <v>102922.48533333333</v>
      </c>
      <c r="H117" s="119"/>
      <c r="I117" s="119"/>
      <c r="J117" s="119"/>
      <c r="K117" s="119"/>
      <c r="L117" s="119"/>
      <c r="M117" s="119"/>
      <c r="N117" s="119"/>
      <c r="O117" s="119"/>
      <c r="P117" s="119"/>
      <c r="Q117" s="119"/>
      <c r="R117" s="119"/>
      <c r="S117" s="119"/>
      <c r="T117" s="119"/>
      <c r="U117" s="119"/>
      <c r="V117" s="119"/>
      <c r="W117" s="119"/>
      <c r="X117" s="119"/>
      <c r="Y117" s="119"/>
      <c r="Z117" s="77">
        <f t="shared" si="7"/>
        <v>1</v>
      </c>
      <c r="AA117" s="77"/>
      <c r="AB117" s="77"/>
    </row>
    <row r="118" spans="2:28" ht="24" customHeight="1">
      <c r="B118" s="455" t="s">
        <v>489</v>
      </c>
      <c r="C118" s="455"/>
      <c r="D118" s="455"/>
      <c r="E118" s="60">
        <f>+E107+E117</f>
        <v>1391459.486302476</v>
      </c>
      <c r="F118" s="60">
        <f>+F107+F117</f>
        <v>0</v>
      </c>
      <c r="G118" s="60">
        <f>+G107+G117</f>
        <v>227986.48533333332</v>
      </c>
      <c r="H118" s="60">
        <f>+H107+H117</f>
        <v>312493</v>
      </c>
      <c r="I118" s="80"/>
      <c r="J118" s="80"/>
      <c r="K118" s="225">
        <f aca="true" t="shared" si="9" ref="K118:V118">+K107+K117</f>
        <v>326394170396.64075</v>
      </c>
      <c r="L118" s="225">
        <f t="shared" si="9"/>
        <v>330081426163.80725</v>
      </c>
      <c r="M118" s="225">
        <f t="shared" si="9"/>
        <v>91548975838.52974</v>
      </c>
      <c r="N118" s="225">
        <f t="shared" si="9"/>
        <v>111460204053.07484</v>
      </c>
      <c r="O118" s="225"/>
      <c r="P118" s="80"/>
      <c r="Q118" s="80"/>
      <c r="R118" s="225">
        <f t="shared" si="9"/>
        <v>0</v>
      </c>
      <c r="S118" s="225"/>
      <c r="T118" s="80"/>
      <c r="U118" s="80"/>
      <c r="V118" s="225">
        <f t="shared" si="9"/>
        <v>0</v>
      </c>
      <c r="W118" s="225"/>
      <c r="X118" s="80"/>
      <c r="Y118" s="80"/>
      <c r="Z118" s="250">
        <f>+IF(L118=0,1,(IF(N118=0,M118/L118,N118/L118)))</f>
        <v>0.3376748741922887</v>
      </c>
      <c r="AA118" s="250"/>
      <c r="AB118" s="250"/>
    </row>
    <row r="119" spans="2:28" ht="24.75" customHeight="1">
      <c r="B119" s="67" t="s">
        <v>490</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row>
    <row r="120" spans="1:28" s="110" customFormat="1" ht="20.25" customHeight="1">
      <c r="A120" s="54"/>
      <c r="B120" s="124" t="s">
        <v>820</v>
      </c>
      <c r="C120" s="125"/>
      <c r="D120" s="125"/>
      <c r="E120" s="125"/>
      <c r="F120" s="125"/>
      <c r="G120" s="125"/>
      <c r="H120" s="126"/>
      <c r="I120" s="125"/>
      <c r="J120" s="125"/>
      <c r="K120" s="125"/>
      <c r="L120" s="125"/>
      <c r="M120" s="125"/>
      <c r="N120" s="125"/>
      <c r="O120" s="125"/>
      <c r="P120" s="125"/>
      <c r="Q120" s="125"/>
      <c r="R120" s="125"/>
      <c r="S120" s="125"/>
      <c r="T120" s="125"/>
      <c r="U120" s="125"/>
      <c r="V120" s="125"/>
      <c r="W120" s="125"/>
      <c r="X120" s="125"/>
      <c r="Y120" s="125"/>
      <c r="Z120" s="252"/>
      <c r="AA120" s="252"/>
      <c r="AB120" s="252"/>
    </row>
    <row r="121" spans="2:28" s="94" customFormat="1" ht="247.5">
      <c r="B121" s="74" t="s">
        <v>821</v>
      </c>
      <c r="C121" s="74" t="s">
        <v>822</v>
      </c>
      <c r="D121" s="74" t="s">
        <v>823</v>
      </c>
      <c r="E121" s="75">
        <f>19463-956</f>
        <v>18507</v>
      </c>
      <c r="F121" s="91" t="s">
        <v>138</v>
      </c>
      <c r="G121" s="75">
        <v>50</v>
      </c>
      <c r="H121" s="75">
        <v>3390</v>
      </c>
      <c r="I121" s="89" t="s">
        <v>139</v>
      </c>
      <c r="J121" s="89" t="s">
        <v>542</v>
      </c>
      <c r="K121" s="75">
        <v>5738</v>
      </c>
      <c r="L121" s="75">
        <v>5738</v>
      </c>
      <c r="M121" s="75">
        <v>0</v>
      </c>
      <c r="N121" s="75">
        <v>280</v>
      </c>
      <c r="O121" s="338">
        <v>0.44</v>
      </c>
      <c r="P121" s="31" t="s">
        <v>1020</v>
      </c>
      <c r="Q121" s="31" t="s">
        <v>1021</v>
      </c>
      <c r="R121" s="75"/>
      <c r="S121" s="75"/>
      <c r="T121" s="31"/>
      <c r="U121" s="31"/>
      <c r="V121" s="75"/>
      <c r="W121" s="75"/>
      <c r="X121" s="31"/>
      <c r="Y121" s="31"/>
      <c r="Z121" s="247">
        <f aca="true" t="shared" si="10" ref="Z121:Z127">+IF(L121=0,1,(IF(N121=0,M121/L121,N121/L121)))</f>
        <v>0.04879749041477867</v>
      </c>
      <c r="AA121" s="77" t="s">
        <v>1030</v>
      </c>
      <c r="AB121" s="77" t="s">
        <v>996</v>
      </c>
    </row>
    <row r="122" spans="1:28" ht="198">
      <c r="A122" s="94"/>
      <c r="B122" s="74" t="s">
        <v>821</v>
      </c>
      <c r="C122" s="74" t="s">
        <v>140</v>
      </c>
      <c r="D122" s="74" t="s">
        <v>141</v>
      </c>
      <c r="E122" s="75">
        <v>4000</v>
      </c>
      <c r="F122" s="91" t="s">
        <v>138</v>
      </c>
      <c r="G122" s="75">
        <v>826</v>
      </c>
      <c r="H122" s="75">
        <v>533</v>
      </c>
      <c r="I122" s="84" t="s">
        <v>364</v>
      </c>
      <c r="J122" s="89" t="s">
        <v>543</v>
      </c>
      <c r="K122" s="75">
        <v>381</v>
      </c>
      <c r="L122" s="29">
        <v>381</v>
      </c>
      <c r="M122" s="75">
        <v>230</v>
      </c>
      <c r="N122" s="29">
        <v>222</v>
      </c>
      <c r="O122" s="338">
        <v>0.7635</v>
      </c>
      <c r="P122" s="31" t="s">
        <v>1022</v>
      </c>
      <c r="Q122" s="75" t="s">
        <v>1023</v>
      </c>
      <c r="R122" s="29"/>
      <c r="S122" s="29"/>
      <c r="T122" s="31"/>
      <c r="U122" s="75"/>
      <c r="V122" s="29"/>
      <c r="W122" s="29"/>
      <c r="X122" s="31"/>
      <c r="Y122" s="75"/>
      <c r="Z122" s="77">
        <f t="shared" si="10"/>
        <v>0.5826771653543307</v>
      </c>
      <c r="AA122" s="77" t="s">
        <v>1030</v>
      </c>
      <c r="AB122" s="77" t="s">
        <v>996</v>
      </c>
    </row>
    <row r="123" spans="1:28" ht="134.25" customHeight="1">
      <c r="A123" s="94"/>
      <c r="B123" s="74" t="s">
        <v>142</v>
      </c>
      <c r="C123" s="74" t="s">
        <v>143</v>
      </c>
      <c r="D123" s="74" t="s">
        <v>144</v>
      </c>
      <c r="E123" s="75">
        <v>21400</v>
      </c>
      <c r="F123" s="91" t="s">
        <v>564</v>
      </c>
      <c r="G123" s="75">
        <v>33</v>
      </c>
      <c r="H123" s="75">
        <v>2353</v>
      </c>
      <c r="I123" s="84" t="s">
        <v>136</v>
      </c>
      <c r="J123" s="89" t="s">
        <v>544</v>
      </c>
      <c r="K123" s="75">
        <v>2741</v>
      </c>
      <c r="L123" s="29">
        <v>2741</v>
      </c>
      <c r="M123" s="75">
        <v>2741</v>
      </c>
      <c r="N123" s="29">
        <v>2741</v>
      </c>
      <c r="O123" s="338">
        <v>0.25</v>
      </c>
      <c r="P123" s="31" t="s">
        <v>1024</v>
      </c>
      <c r="Q123" s="31" t="s">
        <v>1025</v>
      </c>
      <c r="R123" s="29"/>
      <c r="S123" s="29"/>
      <c r="T123" s="31"/>
      <c r="U123" s="31"/>
      <c r="V123" s="29"/>
      <c r="W123" s="29"/>
      <c r="X123" s="31"/>
      <c r="Y123" s="31"/>
      <c r="Z123" s="77">
        <f t="shared" si="10"/>
        <v>1</v>
      </c>
      <c r="AA123" s="77" t="s">
        <v>1030</v>
      </c>
      <c r="AB123" s="77" t="s">
        <v>996</v>
      </c>
    </row>
    <row r="124" spans="2:28" ht="198">
      <c r="B124" s="74" t="s">
        <v>887</v>
      </c>
      <c r="C124" s="74" t="s">
        <v>140</v>
      </c>
      <c r="D124" s="74" t="s">
        <v>141</v>
      </c>
      <c r="E124" s="75">
        <v>12700</v>
      </c>
      <c r="F124" s="91" t="s">
        <v>888</v>
      </c>
      <c r="G124" s="75">
        <v>33</v>
      </c>
      <c r="H124" s="75">
        <v>612</v>
      </c>
      <c r="I124" s="75">
        <v>13455</v>
      </c>
      <c r="J124" s="89" t="s">
        <v>545</v>
      </c>
      <c r="K124" s="75">
        <v>98</v>
      </c>
      <c r="L124" s="29">
        <v>390</v>
      </c>
      <c r="M124" s="75">
        <v>384</v>
      </c>
      <c r="N124" s="29">
        <v>422</v>
      </c>
      <c r="O124" s="338">
        <v>1.7059</v>
      </c>
      <c r="P124" s="31" t="s">
        <v>1027</v>
      </c>
      <c r="Q124" s="31" t="s">
        <v>1026</v>
      </c>
      <c r="R124" s="29"/>
      <c r="S124" s="29"/>
      <c r="T124" s="31"/>
      <c r="U124" s="31"/>
      <c r="V124" s="29"/>
      <c r="W124" s="29"/>
      <c r="X124" s="31"/>
      <c r="Y124" s="31"/>
      <c r="Z124" s="77">
        <f t="shared" si="10"/>
        <v>1.082051282051282</v>
      </c>
      <c r="AA124" s="77" t="s">
        <v>1030</v>
      </c>
      <c r="AB124" s="77" t="s">
        <v>996</v>
      </c>
    </row>
    <row r="125" spans="2:28" s="94" customFormat="1" ht="181.5">
      <c r="B125" s="74" t="s">
        <v>889</v>
      </c>
      <c r="C125" s="74" t="s">
        <v>890</v>
      </c>
      <c r="D125" s="74" t="s">
        <v>891</v>
      </c>
      <c r="E125" s="75">
        <v>412</v>
      </c>
      <c r="F125" s="91" t="s">
        <v>892</v>
      </c>
      <c r="G125" s="84"/>
      <c r="H125" s="75">
        <v>121</v>
      </c>
      <c r="I125" s="76">
        <v>12850</v>
      </c>
      <c r="J125" s="89" t="s">
        <v>546</v>
      </c>
      <c r="K125" s="75">
        <v>96</v>
      </c>
      <c r="L125" s="29">
        <v>96</v>
      </c>
      <c r="M125" s="76">
        <v>0</v>
      </c>
      <c r="N125" s="26">
        <v>0</v>
      </c>
      <c r="O125" s="338">
        <v>0.3</v>
      </c>
      <c r="P125" s="31" t="s">
        <v>1028</v>
      </c>
      <c r="Q125" s="26" t="s">
        <v>1029</v>
      </c>
      <c r="R125" s="26"/>
      <c r="S125" s="26"/>
      <c r="T125" s="31"/>
      <c r="U125" s="26"/>
      <c r="V125" s="26"/>
      <c r="W125" s="26"/>
      <c r="X125" s="31"/>
      <c r="Y125" s="26"/>
      <c r="Z125" s="77">
        <f t="shared" si="10"/>
        <v>0</v>
      </c>
      <c r="AA125" s="77" t="s">
        <v>1030</v>
      </c>
      <c r="AB125" s="77" t="s">
        <v>996</v>
      </c>
    </row>
    <row r="126" spans="2:28" s="94" customFormat="1" ht="99">
      <c r="B126" s="74" t="s">
        <v>893</v>
      </c>
      <c r="C126" s="74" t="s">
        <v>894</v>
      </c>
      <c r="D126" s="74" t="s">
        <v>895</v>
      </c>
      <c r="E126" s="75">
        <v>160</v>
      </c>
      <c r="F126" s="91" t="s">
        <v>896</v>
      </c>
      <c r="G126" s="75">
        <v>52</v>
      </c>
      <c r="H126" s="75">
        <v>32</v>
      </c>
      <c r="I126" s="76">
        <v>750</v>
      </c>
      <c r="J126" s="76" t="s">
        <v>592</v>
      </c>
      <c r="K126" s="75" t="s">
        <v>592</v>
      </c>
      <c r="L126" s="29" t="s">
        <v>592</v>
      </c>
      <c r="M126" s="76">
        <v>0</v>
      </c>
      <c r="N126" s="26">
        <v>0</v>
      </c>
      <c r="O126" s="338">
        <v>0</v>
      </c>
      <c r="P126" s="26"/>
      <c r="Q126" s="26"/>
      <c r="R126" s="26"/>
      <c r="S126" s="26"/>
      <c r="T126" s="26"/>
      <c r="U126" s="26"/>
      <c r="V126" s="26"/>
      <c r="W126" s="26"/>
      <c r="X126" s="26"/>
      <c r="Y126" s="26"/>
      <c r="Z126" s="77" t="e">
        <f t="shared" si="10"/>
        <v>#VALUE!</v>
      </c>
      <c r="AA126" s="77" t="s">
        <v>1030</v>
      </c>
      <c r="AB126" s="77" t="s">
        <v>996</v>
      </c>
    </row>
    <row r="127" spans="2:28" ht="16.5">
      <c r="B127" s="127" t="s">
        <v>209</v>
      </c>
      <c r="C127" s="127"/>
      <c r="D127" s="127"/>
      <c r="E127" s="128">
        <f>+E126+E125+E124+E123+E122+E121</f>
        <v>57179</v>
      </c>
      <c r="F127" s="127"/>
      <c r="G127" s="128">
        <f>+G126+G125+G124+G123+G122+G121</f>
        <v>994</v>
      </c>
      <c r="H127" s="128">
        <f>SUM(H121:H126)</f>
        <v>7041</v>
      </c>
      <c r="I127" s="127"/>
      <c r="J127" s="127"/>
      <c r="K127" s="128">
        <f aca="true" t="shared" si="11" ref="K127:V127">SUM(K121:K126)</f>
        <v>9054</v>
      </c>
      <c r="L127" s="128">
        <f t="shared" si="11"/>
        <v>9346</v>
      </c>
      <c r="M127" s="128">
        <f t="shared" si="11"/>
        <v>3355</v>
      </c>
      <c r="N127" s="128">
        <f t="shared" si="11"/>
        <v>3665</v>
      </c>
      <c r="O127" s="128"/>
      <c r="P127" s="127"/>
      <c r="Q127" s="127"/>
      <c r="R127" s="128">
        <f t="shared" si="11"/>
        <v>0</v>
      </c>
      <c r="S127" s="128"/>
      <c r="T127" s="127"/>
      <c r="U127" s="127"/>
      <c r="V127" s="128">
        <f t="shared" si="11"/>
        <v>0</v>
      </c>
      <c r="W127" s="128"/>
      <c r="X127" s="127"/>
      <c r="Y127" s="127"/>
      <c r="Z127" s="244">
        <f t="shared" si="10"/>
        <v>0.39214637277979886</v>
      </c>
      <c r="AA127" s="244"/>
      <c r="AB127" s="244"/>
    </row>
    <row r="128" spans="1:28" s="110" customFormat="1" ht="21.75" customHeight="1">
      <c r="A128" s="54"/>
      <c r="B128" s="129" t="s">
        <v>897</v>
      </c>
      <c r="C128" s="130"/>
      <c r="D128" s="130"/>
      <c r="E128" s="130"/>
      <c r="F128" s="130"/>
      <c r="G128" s="130"/>
      <c r="H128" s="131"/>
      <c r="I128" s="132"/>
      <c r="J128" s="132"/>
      <c r="K128" s="132"/>
      <c r="L128" s="132"/>
      <c r="M128" s="132"/>
      <c r="N128" s="132"/>
      <c r="O128" s="132"/>
      <c r="P128" s="132"/>
      <c r="Q128" s="132"/>
      <c r="R128" s="132"/>
      <c r="S128" s="132"/>
      <c r="T128" s="132"/>
      <c r="U128" s="132"/>
      <c r="V128" s="132"/>
      <c r="W128" s="132"/>
      <c r="X128" s="132"/>
      <c r="Y128" s="132"/>
      <c r="Z128" s="132"/>
      <c r="AA128" s="132"/>
      <c r="AB128" s="132"/>
    </row>
    <row r="129" spans="2:28" s="85" customFormat="1" ht="66">
      <c r="B129" s="74" t="s">
        <v>898</v>
      </c>
      <c r="C129" s="74" t="s">
        <v>899</v>
      </c>
      <c r="D129" s="74" t="s">
        <v>900</v>
      </c>
      <c r="E129" s="75">
        <v>7739</v>
      </c>
      <c r="F129" s="74" t="s">
        <v>901</v>
      </c>
      <c r="G129" s="90">
        <v>1182</v>
      </c>
      <c r="H129" s="75">
        <v>2520</v>
      </c>
      <c r="I129" s="76">
        <v>423960</v>
      </c>
      <c r="J129" s="89" t="s">
        <v>547</v>
      </c>
      <c r="K129" s="75">
        <v>2250</v>
      </c>
      <c r="L129" s="29">
        <v>2250</v>
      </c>
      <c r="M129" s="75">
        <v>1311</v>
      </c>
      <c r="N129" s="29">
        <v>1504</v>
      </c>
      <c r="O129" s="29" t="s">
        <v>1031</v>
      </c>
      <c r="P129" s="31" t="s">
        <v>1032</v>
      </c>
      <c r="Q129" s="27">
        <v>190684</v>
      </c>
      <c r="R129" s="29"/>
      <c r="S129" s="29"/>
      <c r="T129" s="31"/>
      <c r="U129" s="31"/>
      <c r="V129" s="29"/>
      <c r="W129" s="29"/>
      <c r="X129" s="31"/>
      <c r="Y129" s="31"/>
      <c r="Z129" s="77">
        <f>+IF(L129=0,1,(IF(N129=0,M129/L129,N129/L129)))</f>
        <v>0.6684444444444444</v>
      </c>
      <c r="AA129" s="339" t="s">
        <v>1039</v>
      </c>
      <c r="AB129" s="339" t="s">
        <v>996</v>
      </c>
    </row>
    <row r="130" spans="2:28" s="85" customFormat="1" ht="66">
      <c r="B130" s="74" t="s">
        <v>898</v>
      </c>
      <c r="C130" s="74" t="s">
        <v>899</v>
      </c>
      <c r="D130" s="74" t="s">
        <v>548</v>
      </c>
      <c r="E130" s="75">
        <v>13964</v>
      </c>
      <c r="F130" s="74" t="s">
        <v>902</v>
      </c>
      <c r="G130" s="75">
        <v>1885</v>
      </c>
      <c r="H130" s="75">
        <v>2157</v>
      </c>
      <c r="I130" s="76">
        <v>7159</v>
      </c>
      <c r="J130" s="79" t="s">
        <v>593</v>
      </c>
      <c r="K130" s="75">
        <v>3796</v>
      </c>
      <c r="L130" s="29">
        <v>3796</v>
      </c>
      <c r="M130" s="75">
        <v>3217</v>
      </c>
      <c r="N130" s="29">
        <v>3342</v>
      </c>
      <c r="O130" s="29" t="s">
        <v>1033</v>
      </c>
      <c r="P130" s="31" t="s">
        <v>1034</v>
      </c>
      <c r="Q130" s="29" t="s">
        <v>1035</v>
      </c>
      <c r="R130" s="29"/>
      <c r="S130" s="29"/>
      <c r="T130" s="31"/>
      <c r="U130" s="29"/>
      <c r="V130" s="29"/>
      <c r="W130" s="29"/>
      <c r="X130" s="31"/>
      <c r="Y130" s="29"/>
      <c r="Z130" s="77">
        <f>+IF(L130=0,1,(IF(N130=0,M130/L130,N130/L130)))</f>
        <v>0.8804004214963119</v>
      </c>
      <c r="AA130" s="339" t="s">
        <v>1039</v>
      </c>
      <c r="AB130" s="339" t="s">
        <v>996</v>
      </c>
    </row>
    <row r="131" spans="2:28" s="85" customFormat="1" ht="66">
      <c r="B131" s="74" t="s">
        <v>898</v>
      </c>
      <c r="C131" s="74" t="s">
        <v>899</v>
      </c>
      <c r="D131" s="74" t="s">
        <v>903</v>
      </c>
      <c r="E131" s="75">
        <v>49685</v>
      </c>
      <c r="F131" s="74" t="s">
        <v>902</v>
      </c>
      <c r="G131" s="75">
        <v>9160</v>
      </c>
      <c r="H131" s="133">
        <v>1423</v>
      </c>
      <c r="I131" s="134">
        <v>517</v>
      </c>
      <c r="J131" s="135" t="s">
        <v>594</v>
      </c>
      <c r="K131" s="133">
        <v>1701</v>
      </c>
      <c r="L131" s="233">
        <v>1701</v>
      </c>
      <c r="M131" s="75">
        <v>1278</v>
      </c>
      <c r="N131" s="29">
        <v>1650</v>
      </c>
      <c r="O131" s="29" t="s">
        <v>1036</v>
      </c>
      <c r="P131" s="31" t="s">
        <v>1037</v>
      </c>
      <c r="Q131" s="31" t="s">
        <v>1038</v>
      </c>
      <c r="R131" s="29"/>
      <c r="S131" s="29"/>
      <c r="T131" s="31"/>
      <c r="U131" s="31"/>
      <c r="V131" s="29"/>
      <c r="W131" s="29"/>
      <c r="X131" s="31"/>
      <c r="Y131" s="31"/>
      <c r="Z131" s="77">
        <f>+IF(L131=0,1,(IF(N131=0,M131/L131,N131/L131)))</f>
        <v>0.9700176366843033</v>
      </c>
      <c r="AA131" s="339" t="s">
        <v>1039</v>
      </c>
      <c r="AB131" s="339" t="s">
        <v>996</v>
      </c>
    </row>
    <row r="132" spans="2:28" s="85" customFormat="1" ht="66">
      <c r="B132" s="74" t="s">
        <v>142</v>
      </c>
      <c r="C132" s="74" t="s">
        <v>904</v>
      </c>
      <c r="D132" s="74" t="s">
        <v>905</v>
      </c>
      <c r="E132" s="75">
        <v>1209</v>
      </c>
      <c r="F132" s="74" t="s">
        <v>906</v>
      </c>
      <c r="G132" s="75"/>
      <c r="H132" s="75">
        <v>1346.3</v>
      </c>
      <c r="I132" s="84" t="s">
        <v>549</v>
      </c>
      <c r="J132" s="79" t="s">
        <v>550</v>
      </c>
      <c r="K132" s="75">
        <v>0</v>
      </c>
      <c r="L132" s="29">
        <v>0</v>
      </c>
      <c r="M132" s="75">
        <v>0</v>
      </c>
      <c r="N132" s="29">
        <v>0</v>
      </c>
      <c r="O132" s="29">
        <v>0</v>
      </c>
      <c r="P132" s="31">
        <v>0</v>
      </c>
      <c r="Q132" s="30">
        <v>0</v>
      </c>
      <c r="R132" s="29"/>
      <c r="S132" s="29"/>
      <c r="T132" s="31"/>
      <c r="U132" s="30"/>
      <c r="V132" s="29"/>
      <c r="W132" s="29"/>
      <c r="X132" s="31"/>
      <c r="Y132" s="30"/>
      <c r="Z132" s="77">
        <f>+IF(L132=0,1,(IF(N132=0,M132/L132,N132/L132)))</f>
        <v>1</v>
      </c>
      <c r="AA132" s="339" t="s">
        <v>1039</v>
      </c>
      <c r="AB132" s="339" t="s">
        <v>996</v>
      </c>
    </row>
    <row r="133" spans="2:28" ht="16.5">
      <c r="B133" s="127" t="s">
        <v>209</v>
      </c>
      <c r="C133" s="127"/>
      <c r="D133" s="127"/>
      <c r="E133" s="128">
        <f>SUM(E129:E132)</f>
        <v>72597</v>
      </c>
      <c r="F133" s="127"/>
      <c r="G133" s="128">
        <f>SUM(G129:G132)</f>
        <v>12227</v>
      </c>
      <c r="H133" s="128">
        <f>SUM(H129:H132)</f>
        <v>7446.3</v>
      </c>
      <c r="I133" s="127"/>
      <c r="J133" s="127"/>
      <c r="K133" s="128">
        <f aca="true" t="shared" si="12" ref="K133:V133">SUM(K129:K132)</f>
        <v>7747</v>
      </c>
      <c r="L133" s="128">
        <f t="shared" si="12"/>
        <v>7747</v>
      </c>
      <c r="M133" s="128">
        <f t="shared" si="12"/>
        <v>5806</v>
      </c>
      <c r="N133" s="128">
        <f t="shared" si="12"/>
        <v>6496</v>
      </c>
      <c r="O133" s="128"/>
      <c r="P133" s="127"/>
      <c r="Q133" s="127"/>
      <c r="R133" s="128">
        <f t="shared" si="12"/>
        <v>0</v>
      </c>
      <c r="S133" s="128"/>
      <c r="T133" s="127"/>
      <c r="U133" s="127"/>
      <c r="V133" s="128">
        <f t="shared" si="12"/>
        <v>0</v>
      </c>
      <c r="W133" s="128"/>
      <c r="X133" s="127"/>
      <c r="Y133" s="127"/>
      <c r="Z133" s="244">
        <f>+IF(L133=0,1,(IF(N133=0,M133/L133,N133/L133)))</f>
        <v>0.8385181360526656</v>
      </c>
      <c r="AA133" s="244"/>
      <c r="AB133" s="244"/>
    </row>
    <row r="134" spans="1:28" s="110" customFormat="1" ht="20.25" customHeight="1">
      <c r="A134" s="54"/>
      <c r="B134" s="129" t="s">
        <v>907</v>
      </c>
      <c r="C134" s="132"/>
      <c r="D134" s="132"/>
      <c r="E134" s="132"/>
      <c r="F134" s="132"/>
      <c r="G134" s="132"/>
      <c r="H134" s="131"/>
      <c r="I134" s="132"/>
      <c r="J134" s="132"/>
      <c r="K134" s="132"/>
      <c r="L134" s="132"/>
      <c r="M134" s="132"/>
      <c r="N134" s="132"/>
      <c r="O134" s="132"/>
      <c r="P134" s="132"/>
      <c r="Q134" s="132"/>
      <c r="R134" s="132"/>
      <c r="S134" s="132"/>
      <c r="T134" s="132"/>
      <c r="U134" s="132"/>
      <c r="V134" s="132"/>
      <c r="W134" s="132"/>
      <c r="X134" s="132"/>
      <c r="Y134" s="132"/>
      <c r="Z134" s="132"/>
      <c r="AA134" s="132"/>
      <c r="AB134" s="132"/>
    </row>
    <row r="135" spans="2:29" s="85" customFormat="1" ht="132.75" thickBot="1">
      <c r="B135" s="74" t="s">
        <v>887</v>
      </c>
      <c r="C135" s="74" t="s">
        <v>908</v>
      </c>
      <c r="D135" s="74" t="s">
        <v>909</v>
      </c>
      <c r="E135" s="75">
        <v>600</v>
      </c>
      <c r="F135" s="74" t="s">
        <v>910</v>
      </c>
      <c r="G135" s="75">
        <v>308</v>
      </c>
      <c r="H135" s="75">
        <v>342</v>
      </c>
      <c r="I135" s="103" t="s">
        <v>365</v>
      </c>
      <c r="J135" s="103" t="s">
        <v>595</v>
      </c>
      <c r="K135" s="75">
        <v>300</v>
      </c>
      <c r="L135" s="29">
        <v>200</v>
      </c>
      <c r="M135" s="75">
        <v>0</v>
      </c>
      <c r="N135" s="29">
        <v>0</v>
      </c>
      <c r="O135" s="340">
        <v>0.3</v>
      </c>
      <c r="P135" s="27" t="s">
        <v>1040</v>
      </c>
      <c r="Q135" s="27" t="s">
        <v>1041</v>
      </c>
      <c r="R135" s="29"/>
      <c r="S135" s="29"/>
      <c r="T135" s="27"/>
      <c r="U135" s="27"/>
      <c r="V135" s="29"/>
      <c r="W135" s="29"/>
      <c r="X135" s="27"/>
      <c r="Y135" s="27"/>
      <c r="Z135" s="77">
        <f>+IF(L135=0,1,(IF(N135=0,M135/L135,N135/L135)))</f>
        <v>0</v>
      </c>
      <c r="AA135" s="77" t="s">
        <v>1043</v>
      </c>
      <c r="AB135" s="77" t="s">
        <v>996</v>
      </c>
      <c r="AC135" s="136"/>
    </row>
    <row r="136" spans="2:29" s="85" customFormat="1" ht="167.25" customHeight="1" thickBot="1">
      <c r="B136" s="74" t="s">
        <v>887</v>
      </c>
      <c r="C136" s="74" t="s">
        <v>908</v>
      </c>
      <c r="D136" s="74" t="s">
        <v>909</v>
      </c>
      <c r="E136" s="75">
        <v>660</v>
      </c>
      <c r="F136" s="74" t="s">
        <v>910</v>
      </c>
      <c r="G136" s="75" t="s">
        <v>911</v>
      </c>
      <c r="H136" s="75">
        <v>137</v>
      </c>
      <c r="I136" s="103" t="s">
        <v>551</v>
      </c>
      <c r="J136" s="103" t="s">
        <v>417</v>
      </c>
      <c r="K136" s="75">
        <f>90+150</f>
        <v>240</v>
      </c>
      <c r="L136" s="29">
        <v>137</v>
      </c>
      <c r="M136" s="75">
        <v>0</v>
      </c>
      <c r="N136" s="29">
        <v>0</v>
      </c>
      <c r="O136" s="340">
        <v>0.45</v>
      </c>
      <c r="P136" s="27" t="s">
        <v>1042</v>
      </c>
      <c r="Q136" s="27" t="s">
        <v>1041</v>
      </c>
      <c r="R136" s="29"/>
      <c r="S136" s="29"/>
      <c r="T136" s="27"/>
      <c r="U136" s="27"/>
      <c r="V136" s="29"/>
      <c r="W136" s="29"/>
      <c r="X136" s="27"/>
      <c r="Y136" s="27"/>
      <c r="Z136" s="77">
        <f>+IF(L136=0,1,(IF(N136=0,M136/L136,N136/L136)))</f>
        <v>0</v>
      </c>
      <c r="AA136" s="77" t="s">
        <v>1043</v>
      </c>
      <c r="AB136" s="77" t="s">
        <v>996</v>
      </c>
      <c r="AC136" s="137"/>
    </row>
    <row r="137" spans="2:28" ht="16.5">
      <c r="B137" s="127" t="s">
        <v>209</v>
      </c>
      <c r="C137" s="127"/>
      <c r="D137" s="127"/>
      <c r="E137" s="128">
        <f>SUM(E135:E136)</f>
        <v>1260</v>
      </c>
      <c r="F137" s="127"/>
      <c r="G137" s="128">
        <v>470</v>
      </c>
      <c r="H137" s="128">
        <f>SUM(H135:H136)</f>
        <v>479</v>
      </c>
      <c r="I137" s="127"/>
      <c r="J137" s="127"/>
      <c r="K137" s="128">
        <f aca="true" t="shared" si="13" ref="K137:V137">SUM(K135:K136)</f>
        <v>540</v>
      </c>
      <c r="L137" s="128">
        <f t="shared" si="13"/>
        <v>337</v>
      </c>
      <c r="M137" s="128">
        <f t="shared" si="13"/>
        <v>0</v>
      </c>
      <c r="N137" s="128">
        <f t="shared" si="13"/>
        <v>0</v>
      </c>
      <c r="O137" s="128"/>
      <c r="P137" s="127"/>
      <c r="Q137" s="127"/>
      <c r="R137" s="128">
        <f t="shared" si="13"/>
        <v>0</v>
      </c>
      <c r="S137" s="128"/>
      <c r="T137" s="127"/>
      <c r="U137" s="127"/>
      <c r="V137" s="128">
        <f t="shared" si="13"/>
        <v>0</v>
      </c>
      <c r="W137" s="128"/>
      <c r="X137" s="127"/>
      <c r="Y137" s="127"/>
      <c r="Z137" s="244">
        <f>+IF(L137=0,1,(IF(N137=0,M137/L137,N137/L137)))</f>
        <v>0</v>
      </c>
      <c r="AA137" s="244"/>
      <c r="AB137" s="244"/>
    </row>
    <row r="138" spans="1:28" s="110" customFormat="1" ht="20.25" customHeight="1">
      <c r="A138" s="54"/>
      <c r="B138" s="129" t="s">
        <v>469</v>
      </c>
      <c r="C138" s="132"/>
      <c r="D138" s="132"/>
      <c r="E138" s="132"/>
      <c r="F138" s="132"/>
      <c r="G138" s="132"/>
      <c r="H138" s="131"/>
      <c r="I138" s="132"/>
      <c r="J138" s="132"/>
      <c r="K138" s="132"/>
      <c r="L138" s="132"/>
      <c r="M138" s="132"/>
      <c r="N138" s="132"/>
      <c r="O138" s="132"/>
      <c r="P138" s="132"/>
      <c r="Q138" s="132"/>
      <c r="R138" s="132"/>
      <c r="S138" s="132"/>
      <c r="T138" s="132"/>
      <c r="U138" s="132"/>
      <c r="V138" s="132"/>
      <c r="W138" s="132"/>
      <c r="X138" s="132"/>
      <c r="Y138" s="132"/>
      <c r="Z138" s="132"/>
      <c r="AA138" s="132"/>
      <c r="AB138" s="132"/>
    </row>
    <row r="139" spans="2:28" s="85" customFormat="1" ht="165">
      <c r="B139" s="423" t="s">
        <v>898</v>
      </c>
      <c r="C139" s="423" t="s">
        <v>140</v>
      </c>
      <c r="D139" s="423" t="s">
        <v>470</v>
      </c>
      <c r="E139" s="75">
        <f>+(695*4)+637.5</f>
        <v>3417.5</v>
      </c>
      <c r="F139" s="91" t="s">
        <v>471</v>
      </c>
      <c r="G139" s="138">
        <v>637.5</v>
      </c>
      <c r="H139" s="138">
        <v>695</v>
      </c>
      <c r="I139" s="79" t="s">
        <v>874</v>
      </c>
      <c r="J139" s="79" t="s">
        <v>338</v>
      </c>
      <c r="K139" s="75">
        <v>587</v>
      </c>
      <c r="L139" s="337">
        <v>587</v>
      </c>
      <c r="M139" s="75">
        <v>209</v>
      </c>
      <c r="N139" s="29">
        <v>320</v>
      </c>
      <c r="O139" s="340">
        <v>0.55</v>
      </c>
      <c r="P139" s="28" t="s">
        <v>1044</v>
      </c>
      <c r="Q139" s="28" t="s">
        <v>1045</v>
      </c>
      <c r="R139" s="29"/>
      <c r="S139" s="29"/>
      <c r="T139" s="28"/>
      <c r="U139" s="28"/>
      <c r="V139" s="29"/>
      <c r="W139" s="29"/>
      <c r="X139" s="28"/>
      <c r="Y139" s="28"/>
      <c r="Z139" s="77">
        <f>+IF(L139=0,1,(IF(N139=0,M139/L139,N139/L139)))</f>
        <v>0.545144804088586</v>
      </c>
      <c r="AA139" s="77" t="s">
        <v>1048</v>
      </c>
      <c r="AB139" s="77" t="s">
        <v>996</v>
      </c>
    </row>
    <row r="140" spans="2:28" s="85" customFormat="1" ht="80.25" customHeight="1">
      <c r="B140" s="423"/>
      <c r="C140" s="423"/>
      <c r="D140" s="423"/>
      <c r="E140" s="75">
        <v>112.5</v>
      </c>
      <c r="F140" s="91" t="s">
        <v>339</v>
      </c>
      <c r="G140" s="75">
        <v>22.5</v>
      </c>
      <c r="H140" s="75">
        <v>23</v>
      </c>
      <c r="I140" s="103">
        <v>2621</v>
      </c>
      <c r="J140" s="103" t="s">
        <v>596</v>
      </c>
      <c r="K140" s="75">
        <v>23</v>
      </c>
      <c r="L140" s="29">
        <v>26</v>
      </c>
      <c r="M140" s="75">
        <v>0</v>
      </c>
      <c r="N140" s="337">
        <v>51</v>
      </c>
      <c r="O140" s="372">
        <v>1.96</v>
      </c>
      <c r="P140" s="341" t="s">
        <v>1046</v>
      </c>
      <c r="Q140" s="342" t="s">
        <v>1047</v>
      </c>
      <c r="R140" s="29"/>
      <c r="S140" s="29"/>
      <c r="T140" s="27"/>
      <c r="U140" s="27"/>
      <c r="V140" s="29"/>
      <c r="W140" s="29"/>
      <c r="X140" s="27"/>
      <c r="Y140" s="27"/>
      <c r="Z140" s="77">
        <f>+IF(L140=0,1,(IF(N140=0,M140/L140,N140/L140)))</f>
        <v>1.9615384615384615</v>
      </c>
      <c r="AA140" s="77" t="s">
        <v>1048</v>
      </c>
      <c r="AB140" s="77" t="s">
        <v>996</v>
      </c>
    </row>
    <row r="141" spans="2:28" ht="16.5">
      <c r="B141" s="127" t="s">
        <v>209</v>
      </c>
      <c r="C141" s="127"/>
      <c r="D141" s="127"/>
      <c r="E141" s="128">
        <f>SUM(E139:E140)</f>
        <v>3530</v>
      </c>
      <c r="F141" s="127"/>
      <c r="G141" s="128">
        <f>SUM(G139:G140)</f>
        <v>660</v>
      </c>
      <c r="H141" s="128">
        <f>SUM(H139:H140)</f>
        <v>718</v>
      </c>
      <c r="I141" s="127"/>
      <c r="J141" s="127"/>
      <c r="K141" s="128">
        <f aca="true" t="shared" si="14" ref="K141:V141">SUM(K139:K140)</f>
        <v>610</v>
      </c>
      <c r="L141" s="128">
        <f t="shared" si="14"/>
        <v>613</v>
      </c>
      <c r="M141" s="128">
        <f t="shared" si="14"/>
        <v>209</v>
      </c>
      <c r="N141" s="128">
        <f t="shared" si="14"/>
        <v>371</v>
      </c>
      <c r="O141" s="128"/>
      <c r="P141" s="127"/>
      <c r="Q141" s="127"/>
      <c r="R141" s="128">
        <f t="shared" si="14"/>
        <v>0</v>
      </c>
      <c r="S141" s="128"/>
      <c r="T141" s="127"/>
      <c r="U141" s="127"/>
      <c r="V141" s="128">
        <f t="shared" si="14"/>
        <v>0</v>
      </c>
      <c r="W141" s="128"/>
      <c r="X141" s="127"/>
      <c r="Y141" s="127"/>
      <c r="Z141" s="244">
        <f>+IF(L141=0,1,(IF(N141=0,M141/L141,N141/L141)))</f>
        <v>0.6052202283849919</v>
      </c>
      <c r="AA141" s="244"/>
      <c r="AB141" s="244"/>
    </row>
    <row r="142" spans="1:28" s="110" customFormat="1" ht="20.25" customHeight="1">
      <c r="A142" s="54"/>
      <c r="B142" s="129" t="s">
        <v>340</v>
      </c>
      <c r="C142" s="132"/>
      <c r="D142" s="132"/>
      <c r="E142" s="132"/>
      <c r="F142" s="132"/>
      <c r="G142" s="132"/>
      <c r="H142" s="131"/>
      <c r="I142" s="132"/>
      <c r="J142" s="132"/>
      <c r="K142" s="132"/>
      <c r="L142" s="132"/>
      <c r="M142" s="132"/>
      <c r="N142" s="132"/>
      <c r="O142" s="132"/>
      <c r="P142" s="132"/>
      <c r="Q142" s="132"/>
      <c r="R142" s="132"/>
      <c r="S142" s="132"/>
      <c r="T142" s="132"/>
      <c r="U142" s="132"/>
      <c r="V142" s="132"/>
      <c r="W142" s="132"/>
      <c r="X142" s="132"/>
      <c r="Y142" s="132"/>
      <c r="Z142" s="132"/>
      <c r="AA142" s="132"/>
      <c r="AB142" s="132"/>
    </row>
    <row r="143" spans="2:28" s="85" customFormat="1" ht="99">
      <c r="B143" s="427" t="s">
        <v>898</v>
      </c>
      <c r="C143" s="427" t="s">
        <v>140</v>
      </c>
      <c r="D143" s="427" t="s">
        <v>141</v>
      </c>
      <c r="E143" s="441">
        <v>7137</v>
      </c>
      <c r="F143" s="91" t="s">
        <v>341</v>
      </c>
      <c r="G143" s="75">
        <f>+(609544)/1000</f>
        <v>609.544</v>
      </c>
      <c r="H143" s="75">
        <v>1944</v>
      </c>
      <c r="I143" s="103">
        <v>364325</v>
      </c>
      <c r="J143" s="103">
        <v>150000</v>
      </c>
      <c r="K143" s="75">
        <v>1148.33455</v>
      </c>
      <c r="L143" s="29">
        <v>1148.33455</v>
      </c>
      <c r="M143" s="75">
        <v>622.9562467999999</v>
      </c>
      <c r="N143" s="29">
        <v>627</v>
      </c>
      <c r="O143" s="373">
        <v>0.55</v>
      </c>
      <c r="P143" s="27" t="s">
        <v>1049</v>
      </c>
      <c r="Q143" s="27">
        <v>111756</v>
      </c>
      <c r="R143" s="29"/>
      <c r="S143" s="29"/>
      <c r="T143" s="27"/>
      <c r="U143" s="27"/>
      <c r="V143" s="29"/>
      <c r="W143" s="29"/>
      <c r="X143" s="27"/>
      <c r="Y143" s="27"/>
      <c r="Z143" s="77">
        <f>+IF(L143=0,1,(IF(N143=0,M143/L143,N143/L143)))</f>
        <v>0.5460081297736796</v>
      </c>
      <c r="AA143" s="77" t="s">
        <v>1051</v>
      </c>
      <c r="AB143" s="77" t="s">
        <v>996</v>
      </c>
    </row>
    <row r="144" spans="2:28" s="85" customFormat="1" ht="115.5">
      <c r="B144" s="422"/>
      <c r="C144" s="422"/>
      <c r="D144" s="422"/>
      <c r="E144" s="442"/>
      <c r="F144" s="91" t="s">
        <v>819</v>
      </c>
      <c r="G144" s="75">
        <v>0</v>
      </c>
      <c r="H144" s="75">
        <v>0</v>
      </c>
      <c r="I144" s="75">
        <v>0</v>
      </c>
      <c r="J144" s="103">
        <v>50000</v>
      </c>
      <c r="K144" s="75">
        <v>473.74882</v>
      </c>
      <c r="L144" s="29">
        <v>473.74882</v>
      </c>
      <c r="M144" s="75">
        <v>168.94431553</v>
      </c>
      <c r="N144" s="29">
        <v>199</v>
      </c>
      <c r="O144" s="373">
        <v>0.42</v>
      </c>
      <c r="P144" s="27" t="s">
        <v>1050</v>
      </c>
      <c r="Q144" s="27">
        <v>20182</v>
      </c>
      <c r="R144" s="29"/>
      <c r="S144" s="29"/>
      <c r="T144" s="27"/>
      <c r="U144" s="27"/>
      <c r="V144" s="29"/>
      <c r="W144" s="29"/>
      <c r="X144" s="27"/>
      <c r="Y144" s="27"/>
      <c r="Z144" s="77">
        <f>+IF(L144=0,1,(IF(N144=0,M144/L144,N144/L144)))</f>
        <v>0.4200538167039656</v>
      </c>
      <c r="AA144" s="77" t="s">
        <v>1051</v>
      </c>
      <c r="AB144" s="77" t="s">
        <v>996</v>
      </c>
    </row>
    <row r="145" spans="2:28" ht="16.5">
      <c r="B145" s="127" t="s">
        <v>209</v>
      </c>
      <c r="C145" s="127"/>
      <c r="D145" s="127"/>
      <c r="E145" s="128">
        <f>SUM(E143)</f>
        <v>7137</v>
      </c>
      <c r="F145" s="127"/>
      <c r="G145" s="128">
        <f>SUM(G143)</f>
        <v>609.544</v>
      </c>
      <c r="H145" s="128">
        <f>SUM(H143)</f>
        <v>1944</v>
      </c>
      <c r="I145" s="127"/>
      <c r="J145" s="127"/>
      <c r="K145" s="128">
        <f>SUM(K143)</f>
        <v>1148.33455</v>
      </c>
      <c r="L145" s="128">
        <f>SUM(L143,L144)</f>
        <v>1622.08337</v>
      </c>
      <c r="M145" s="128">
        <f>SUM(M143,M144)</f>
        <v>791.90056233</v>
      </c>
      <c r="N145" s="128">
        <f>SUM(N143,N144)</f>
        <v>826</v>
      </c>
      <c r="O145" s="128"/>
      <c r="P145" s="127"/>
      <c r="Q145" s="127"/>
      <c r="R145" s="128">
        <f>SUM(R143,R144)</f>
        <v>0</v>
      </c>
      <c r="S145" s="128"/>
      <c r="T145" s="127"/>
      <c r="U145" s="127"/>
      <c r="V145" s="128">
        <f>SUM(V143,V144)</f>
        <v>0</v>
      </c>
      <c r="W145" s="128"/>
      <c r="X145" s="127"/>
      <c r="Y145" s="127"/>
      <c r="Z145" s="244">
        <f>+IF(L145=0,1,(IF(N145=0,M145/L145,N145/L145)))</f>
        <v>0.5092216684275606</v>
      </c>
      <c r="AA145" s="244"/>
      <c r="AB145" s="244"/>
    </row>
    <row r="146" spans="2:28" ht="30" customHeight="1">
      <c r="B146" s="127" t="s">
        <v>404</v>
      </c>
      <c r="C146" s="127"/>
      <c r="D146" s="127"/>
      <c r="E146" s="128">
        <f>E145+E141+E137+E133+E127</f>
        <v>141703</v>
      </c>
      <c r="F146" s="127"/>
      <c r="G146" s="128">
        <f>G145+G141+G137+G133+G127</f>
        <v>14960.544</v>
      </c>
      <c r="H146" s="128">
        <f>H145+H141+H137+H133+H127</f>
        <v>17628.3</v>
      </c>
      <c r="I146" s="127"/>
      <c r="J146" s="127"/>
      <c r="K146" s="128">
        <f aca="true" t="shared" si="15" ref="K146:V146">K145+K141+K137+K133+K127</f>
        <v>19099.33455</v>
      </c>
      <c r="L146" s="128">
        <f t="shared" si="15"/>
        <v>19665.08337</v>
      </c>
      <c r="M146" s="128">
        <f t="shared" si="15"/>
        <v>10161.90056233</v>
      </c>
      <c r="N146" s="128">
        <f t="shared" si="15"/>
        <v>11358</v>
      </c>
      <c r="O146" s="128"/>
      <c r="P146" s="127"/>
      <c r="Q146" s="127"/>
      <c r="R146" s="128">
        <f t="shared" si="15"/>
        <v>0</v>
      </c>
      <c r="S146" s="128"/>
      <c r="T146" s="127"/>
      <c r="U146" s="127"/>
      <c r="V146" s="128">
        <f t="shared" si="15"/>
        <v>0</v>
      </c>
      <c r="W146" s="128"/>
      <c r="X146" s="127"/>
      <c r="Y146" s="127"/>
      <c r="Z146" s="253">
        <f>+IF(L146=0,1,(IF(N146=0,M146/L146,N146/L146)))</f>
        <v>0.5775719220863899</v>
      </c>
      <c r="AA146" s="253"/>
      <c r="AB146" s="253"/>
    </row>
    <row r="147" spans="2:28" ht="31.5" customHeight="1">
      <c r="B147" s="67" t="s">
        <v>342</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row>
    <row r="148" spans="1:28" s="110" customFormat="1" ht="23.25" customHeight="1">
      <c r="A148" s="54"/>
      <c r="B148" s="124" t="s">
        <v>343</v>
      </c>
      <c r="C148" s="125"/>
      <c r="D148" s="125"/>
      <c r="E148" s="125"/>
      <c r="F148" s="125"/>
      <c r="G148" s="125"/>
      <c r="H148" s="126"/>
      <c r="I148" s="125"/>
      <c r="J148" s="125"/>
      <c r="K148" s="125"/>
      <c r="L148" s="125"/>
      <c r="M148" s="125"/>
      <c r="N148" s="125"/>
      <c r="O148" s="125"/>
      <c r="P148" s="125"/>
      <c r="Q148" s="125"/>
      <c r="R148" s="125"/>
      <c r="S148" s="125"/>
      <c r="T148" s="125"/>
      <c r="U148" s="125"/>
      <c r="V148" s="125"/>
      <c r="W148" s="125"/>
      <c r="X148" s="125"/>
      <c r="Y148" s="125"/>
      <c r="Z148" s="125"/>
      <c r="AA148" s="125"/>
      <c r="AB148" s="125"/>
    </row>
    <row r="149" spans="2:28" s="85" customFormat="1" ht="409.5">
      <c r="B149" s="139" t="s">
        <v>344</v>
      </c>
      <c r="C149" s="139" t="s">
        <v>345</v>
      </c>
      <c r="D149" s="139" t="s">
        <v>701</v>
      </c>
      <c r="E149" s="90">
        <v>55805</v>
      </c>
      <c r="F149" s="139" t="s">
        <v>346</v>
      </c>
      <c r="G149" s="140">
        <v>349</v>
      </c>
      <c r="H149" s="90">
        <v>1662</v>
      </c>
      <c r="I149" s="141">
        <v>1200</v>
      </c>
      <c r="J149" s="73" t="s">
        <v>597</v>
      </c>
      <c r="K149" s="142">
        <f>500000000/1000000</f>
        <v>500</v>
      </c>
      <c r="L149" s="234">
        <f>500000000/1000000</f>
        <v>500</v>
      </c>
      <c r="M149" s="142">
        <v>120</v>
      </c>
      <c r="N149" s="235">
        <v>120</v>
      </c>
      <c r="O149" s="235">
        <v>100</v>
      </c>
      <c r="P149" s="31" t="s">
        <v>1018</v>
      </c>
      <c r="Q149" s="235">
        <v>1200</v>
      </c>
      <c r="R149" s="235"/>
      <c r="S149" s="235"/>
      <c r="T149" s="31"/>
      <c r="U149" s="235"/>
      <c r="V149" s="235"/>
      <c r="W149" s="235"/>
      <c r="X149" s="31"/>
      <c r="Y149" s="235"/>
      <c r="Z149" s="247">
        <f>+IF(L149=0,1,(IF(N149=0,M149/L149,N149/L149)))</f>
        <v>0.24</v>
      </c>
      <c r="AA149" s="77" t="s">
        <v>1019</v>
      </c>
      <c r="AB149" s="77" t="s">
        <v>527</v>
      </c>
    </row>
    <row r="150" spans="2:28" ht="16.5">
      <c r="B150" s="143" t="s">
        <v>404</v>
      </c>
      <c r="C150" s="143"/>
      <c r="D150" s="143"/>
      <c r="E150" s="144">
        <f>SUM(E149)</f>
        <v>55805</v>
      </c>
      <c r="F150" s="143"/>
      <c r="G150" s="144">
        <f>SUM(G149)</f>
        <v>349</v>
      </c>
      <c r="H150" s="144">
        <f>SUM(H149)</f>
        <v>1662</v>
      </c>
      <c r="I150" s="143"/>
      <c r="J150" s="143"/>
      <c r="K150" s="144">
        <f aca="true" t="shared" si="16" ref="K150:V150">SUM(K149)</f>
        <v>500</v>
      </c>
      <c r="L150" s="144">
        <f t="shared" si="16"/>
        <v>500</v>
      </c>
      <c r="M150" s="144">
        <f t="shared" si="16"/>
        <v>120</v>
      </c>
      <c r="N150" s="144">
        <f t="shared" si="16"/>
        <v>120</v>
      </c>
      <c r="O150" s="144"/>
      <c r="P150" s="143"/>
      <c r="Q150" s="143"/>
      <c r="R150" s="144">
        <f t="shared" si="16"/>
        <v>0</v>
      </c>
      <c r="S150" s="144"/>
      <c r="T150" s="143"/>
      <c r="U150" s="143"/>
      <c r="V150" s="144">
        <f t="shared" si="16"/>
        <v>0</v>
      </c>
      <c r="W150" s="144"/>
      <c r="X150" s="143"/>
      <c r="Y150" s="143"/>
      <c r="Z150" s="254">
        <f>+IF(L150=0,1,(IF(N150=0,M150/L150,N150/L150)))</f>
        <v>0.24</v>
      </c>
      <c r="AA150" s="254"/>
      <c r="AB150" s="254"/>
    </row>
    <row r="151" spans="2:28" s="145" customFormat="1" ht="27" customHeight="1">
      <c r="B151" s="67" t="s">
        <v>347</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row>
    <row r="152" spans="1:28" s="147" customFormat="1" ht="19.5" customHeight="1">
      <c r="A152" s="146"/>
      <c r="B152" s="69" t="s">
        <v>348</v>
      </c>
      <c r="C152" s="71"/>
      <c r="D152" s="71"/>
      <c r="E152" s="71"/>
      <c r="F152" s="71"/>
      <c r="G152" s="71"/>
      <c r="H152" s="64"/>
      <c r="I152" s="71"/>
      <c r="J152" s="71"/>
      <c r="K152" s="71"/>
      <c r="L152" s="71"/>
      <c r="M152" s="71"/>
      <c r="N152" s="71"/>
      <c r="O152" s="71"/>
      <c r="P152" s="71"/>
      <c r="Q152" s="71"/>
      <c r="R152" s="71"/>
      <c r="S152" s="71"/>
      <c r="T152" s="71"/>
      <c r="U152" s="71"/>
      <c r="V152" s="71"/>
      <c r="W152" s="71"/>
      <c r="X152" s="71"/>
      <c r="Y152" s="71"/>
      <c r="Z152" s="71"/>
      <c r="AA152" s="71"/>
      <c r="AB152" s="71"/>
    </row>
    <row r="153" spans="2:28" s="148" customFormat="1" ht="99">
      <c r="B153" s="88" t="s">
        <v>349</v>
      </c>
      <c r="C153" s="74" t="s">
        <v>350</v>
      </c>
      <c r="D153" s="89" t="s">
        <v>351</v>
      </c>
      <c r="E153" s="90">
        <f>210+120+136.5+199.9+291.1</f>
        <v>957.5</v>
      </c>
      <c r="F153" s="89" t="s">
        <v>352</v>
      </c>
      <c r="G153" s="90">
        <v>210</v>
      </c>
      <c r="H153" s="90">
        <v>120</v>
      </c>
      <c r="I153" s="149" t="s">
        <v>630</v>
      </c>
      <c r="J153" s="150" t="s">
        <v>598</v>
      </c>
      <c r="K153" s="75">
        <v>120</v>
      </c>
      <c r="L153" s="29">
        <v>120</v>
      </c>
      <c r="M153" s="242">
        <v>0</v>
      </c>
      <c r="N153" s="236">
        <v>0</v>
      </c>
      <c r="O153" s="236">
        <v>0</v>
      </c>
      <c r="P153" s="237" t="s">
        <v>997</v>
      </c>
      <c r="Q153" s="238">
        <v>0</v>
      </c>
      <c r="R153" s="236"/>
      <c r="S153" s="236"/>
      <c r="T153" s="237"/>
      <c r="U153" s="238"/>
      <c r="V153" s="236"/>
      <c r="W153" s="236"/>
      <c r="X153" s="237"/>
      <c r="Y153" s="238"/>
      <c r="Z153" s="247">
        <f>+IF(L153=0,1,(IF(N153=0,M153/L153,N153/L153)))</f>
        <v>0</v>
      </c>
      <c r="AA153" s="77" t="s">
        <v>1012</v>
      </c>
      <c r="AB153" s="77" t="s">
        <v>1013</v>
      </c>
    </row>
    <row r="154" spans="2:28" s="148" customFormat="1" ht="409.5">
      <c r="B154" s="423" t="s">
        <v>353</v>
      </c>
      <c r="C154" s="423" t="s">
        <v>354</v>
      </c>
      <c r="D154" s="89" t="s">
        <v>355</v>
      </c>
      <c r="E154" s="90">
        <f>42.0478+45+47+46</f>
        <v>180.0478</v>
      </c>
      <c r="F154" s="418" t="s">
        <v>356</v>
      </c>
      <c r="G154" s="90">
        <v>0</v>
      </c>
      <c r="H154" s="90">
        <v>0</v>
      </c>
      <c r="I154" s="151">
        <v>40</v>
      </c>
      <c r="J154" s="116" t="s">
        <v>599</v>
      </c>
      <c r="K154" s="75">
        <v>60</v>
      </c>
      <c r="L154" s="29">
        <v>32</v>
      </c>
      <c r="M154" s="242">
        <v>0</v>
      </c>
      <c r="N154" s="236">
        <v>0</v>
      </c>
      <c r="O154" s="236">
        <v>0.3</v>
      </c>
      <c r="P154" s="31" t="s">
        <v>998</v>
      </c>
      <c r="Q154" s="238">
        <v>30</v>
      </c>
      <c r="R154" s="236"/>
      <c r="S154" s="236"/>
      <c r="T154" s="31"/>
      <c r="U154" s="238"/>
      <c r="V154" s="236"/>
      <c r="W154" s="236"/>
      <c r="X154" s="31"/>
      <c r="Y154" s="238"/>
      <c r="Z154" s="77">
        <f aca="true" t="shared" si="17" ref="Z154:Z160">+IF(L154=0,1,(IF(N154=0,M154/L154,N154/L154)))</f>
        <v>0</v>
      </c>
      <c r="AA154" s="77" t="s">
        <v>1014</v>
      </c>
      <c r="AB154" s="77" t="s">
        <v>1015</v>
      </c>
    </row>
    <row r="155" spans="2:28" s="152" customFormat="1" ht="130.5" customHeight="1">
      <c r="B155" s="423"/>
      <c r="C155" s="423"/>
      <c r="D155" s="423" t="s">
        <v>357</v>
      </c>
      <c r="E155" s="90">
        <f>28.81809+30+31.5+32.8</f>
        <v>123.11809</v>
      </c>
      <c r="F155" s="418"/>
      <c r="G155" s="90">
        <v>0</v>
      </c>
      <c r="H155" s="90">
        <v>80</v>
      </c>
      <c r="I155" s="89" t="s">
        <v>631</v>
      </c>
      <c r="J155" s="73">
        <v>600</v>
      </c>
      <c r="K155" s="75">
        <v>100</v>
      </c>
      <c r="L155" s="29">
        <v>100</v>
      </c>
      <c r="M155" s="242">
        <v>10</v>
      </c>
      <c r="N155" s="236">
        <v>10</v>
      </c>
      <c r="O155" s="236">
        <v>0.1</v>
      </c>
      <c r="P155" s="31" t="s">
        <v>1001</v>
      </c>
      <c r="Q155" s="238">
        <v>11</v>
      </c>
      <c r="R155" s="236"/>
      <c r="S155" s="236"/>
      <c r="T155" s="31"/>
      <c r="U155" s="238"/>
      <c r="V155" s="236"/>
      <c r="W155" s="236"/>
      <c r="X155" s="31"/>
      <c r="Y155" s="238"/>
      <c r="Z155" s="77">
        <f t="shared" si="17"/>
        <v>0.1</v>
      </c>
      <c r="AA155" s="77" t="s">
        <v>1014</v>
      </c>
      <c r="AB155" s="77" t="s">
        <v>1015</v>
      </c>
    </row>
    <row r="156" spans="2:28" s="152" customFormat="1" ht="84.75" customHeight="1">
      <c r="B156" s="423"/>
      <c r="C156" s="423"/>
      <c r="D156" s="423"/>
      <c r="E156" s="90">
        <f>154+155+155.2+156</f>
        <v>620.2</v>
      </c>
      <c r="F156" s="418"/>
      <c r="G156" s="90">
        <v>0</v>
      </c>
      <c r="H156" s="90">
        <v>0</v>
      </c>
      <c r="I156" s="151">
        <v>0</v>
      </c>
      <c r="J156" s="116">
        <v>200</v>
      </c>
      <c r="K156" s="75">
        <v>102</v>
      </c>
      <c r="L156" s="29">
        <v>102</v>
      </c>
      <c r="M156" s="242">
        <v>0</v>
      </c>
      <c r="N156" s="236">
        <v>0</v>
      </c>
      <c r="O156" s="236">
        <v>0</v>
      </c>
      <c r="P156" s="31"/>
      <c r="Q156" s="238"/>
      <c r="R156" s="236"/>
      <c r="S156" s="236"/>
      <c r="T156" s="31"/>
      <c r="U156" s="238"/>
      <c r="V156" s="236"/>
      <c r="W156" s="236"/>
      <c r="X156" s="31"/>
      <c r="Y156" s="238"/>
      <c r="Z156" s="77">
        <f t="shared" si="17"/>
        <v>0</v>
      </c>
      <c r="AA156" s="77" t="s">
        <v>1014</v>
      </c>
      <c r="AB156" s="77" t="s">
        <v>1015</v>
      </c>
    </row>
    <row r="157" spans="2:28" s="152" customFormat="1" ht="409.5" thickBot="1">
      <c r="B157" s="423"/>
      <c r="C157" s="423"/>
      <c r="D157" s="89" t="s">
        <v>358</v>
      </c>
      <c r="E157" s="90">
        <f>91.595+93.5+94.2+95.2</f>
        <v>374.495</v>
      </c>
      <c r="F157" s="418"/>
      <c r="G157" s="90">
        <v>0</v>
      </c>
      <c r="H157" s="90">
        <v>167</v>
      </c>
      <c r="I157" s="151">
        <v>137</v>
      </c>
      <c r="J157" s="116">
        <v>12</v>
      </c>
      <c r="K157" s="75">
        <v>32</v>
      </c>
      <c r="L157" s="29">
        <v>300</v>
      </c>
      <c r="M157" s="242">
        <v>0</v>
      </c>
      <c r="N157" s="236">
        <v>0</v>
      </c>
      <c r="O157" s="236">
        <v>0.3</v>
      </c>
      <c r="P157" s="31" t="s">
        <v>1002</v>
      </c>
      <c r="Q157" s="238">
        <v>0</v>
      </c>
      <c r="R157" s="236"/>
      <c r="S157" s="236"/>
      <c r="T157" s="31"/>
      <c r="U157" s="238"/>
      <c r="V157" s="236"/>
      <c r="W157" s="236"/>
      <c r="X157" s="31"/>
      <c r="Y157" s="238"/>
      <c r="Z157" s="77">
        <f t="shared" si="17"/>
        <v>0</v>
      </c>
      <c r="AA157" s="77" t="s">
        <v>1014</v>
      </c>
      <c r="AB157" s="77" t="s">
        <v>1015</v>
      </c>
    </row>
    <row r="158" spans="2:29" s="153" customFormat="1" ht="363">
      <c r="B158" s="88" t="s">
        <v>359</v>
      </c>
      <c r="C158" s="74" t="s">
        <v>360</v>
      </c>
      <c r="D158" s="89" t="s">
        <v>361</v>
      </c>
      <c r="E158" s="90">
        <v>4740.652932</v>
      </c>
      <c r="F158" s="89" t="s">
        <v>362</v>
      </c>
      <c r="G158" s="90">
        <v>788.5</v>
      </c>
      <c r="H158" s="90">
        <v>722.5</v>
      </c>
      <c r="I158" s="89" t="s">
        <v>632</v>
      </c>
      <c r="J158" s="73" t="s">
        <v>600</v>
      </c>
      <c r="K158" s="75">
        <v>451.92</v>
      </c>
      <c r="L158" s="29">
        <v>451.92</v>
      </c>
      <c r="M158" s="242">
        <v>233.792</v>
      </c>
      <c r="N158" s="236">
        <v>233.792</v>
      </c>
      <c r="O158" s="236" t="s">
        <v>1005</v>
      </c>
      <c r="P158" s="31" t="s">
        <v>1003</v>
      </c>
      <c r="Q158" s="31" t="s">
        <v>1004</v>
      </c>
      <c r="R158" s="236"/>
      <c r="S158" s="236"/>
      <c r="T158" s="31"/>
      <c r="U158" s="31"/>
      <c r="V158" s="236"/>
      <c r="W158" s="236"/>
      <c r="X158" s="31"/>
      <c r="Y158" s="31"/>
      <c r="Z158" s="77">
        <f t="shared" si="17"/>
        <v>0.5173305009736237</v>
      </c>
      <c r="AA158" s="77" t="s">
        <v>1016</v>
      </c>
      <c r="AB158" s="77" t="s">
        <v>1015</v>
      </c>
      <c r="AC158" s="154"/>
    </row>
    <row r="159" spans="2:28" s="153" customFormat="1" ht="130.5" customHeight="1">
      <c r="B159" s="423" t="s">
        <v>349</v>
      </c>
      <c r="C159" s="454" t="s">
        <v>363</v>
      </c>
      <c r="D159" s="89" t="s">
        <v>689</v>
      </c>
      <c r="E159" s="90">
        <v>730</v>
      </c>
      <c r="F159" s="418" t="s">
        <v>690</v>
      </c>
      <c r="G159" s="90">
        <v>75.982652</v>
      </c>
      <c r="H159" s="90">
        <v>71</v>
      </c>
      <c r="I159" s="89" t="s">
        <v>633</v>
      </c>
      <c r="J159" s="73" t="s">
        <v>166</v>
      </c>
      <c r="K159" s="75">
        <f>36+30</f>
        <v>66</v>
      </c>
      <c r="L159" s="29">
        <f>36+30</f>
        <v>66</v>
      </c>
      <c r="M159" s="242">
        <v>0</v>
      </c>
      <c r="N159" s="236">
        <v>0</v>
      </c>
      <c r="O159" s="236">
        <v>0</v>
      </c>
      <c r="P159" s="31" t="s">
        <v>1006</v>
      </c>
      <c r="Q159" s="238">
        <v>0</v>
      </c>
      <c r="R159" s="236"/>
      <c r="S159" s="236"/>
      <c r="T159" s="31"/>
      <c r="U159" s="238"/>
      <c r="V159" s="236"/>
      <c r="W159" s="236"/>
      <c r="X159" s="31"/>
      <c r="Y159" s="238"/>
      <c r="Z159" s="77">
        <f t="shared" si="17"/>
        <v>0</v>
      </c>
      <c r="AA159" s="77" t="s">
        <v>1017</v>
      </c>
      <c r="AB159" s="77" t="s">
        <v>1015</v>
      </c>
    </row>
    <row r="160" spans="2:28" s="148" customFormat="1" ht="409.5">
      <c r="B160" s="423"/>
      <c r="C160" s="454"/>
      <c r="D160" s="89" t="s">
        <v>667</v>
      </c>
      <c r="E160" s="90">
        <v>428</v>
      </c>
      <c r="F160" s="418"/>
      <c r="G160" s="90">
        <v>17.556598</v>
      </c>
      <c r="H160" s="90">
        <v>113</v>
      </c>
      <c r="I160" s="155" t="s">
        <v>634</v>
      </c>
      <c r="J160" s="155" t="s">
        <v>167</v>
      </c>
      <c r="K160" s="86">
        <f>110+20+80</f>
        <v>210</v>
      </c>
      <c r="L160" s="44">
        <f>110+20+80</f>
        <v>210</v>
      </c>
      <c r="M160" s="242">
        <v>32</v>
      </c>
      <c r="N160" s="236">
        <v>32</v>
      </c>
      <c r="O160" s="236" t="s">
        <v>1009</v>
      </c>
      <c r="P160" s="239" t="s">
        <v>1007</v>
      </c>
      <c r="Q160" s="238" t="s">
        <v>1008</v>
      </c>
      <c r="R160" s="236"/>
      <c r="S160" s="236"/>
      <c r="T160" s="239"/>
      <c r="U160" s="238"/>
      <c r="V160" s="236"/>
      <c r="W160" s="236"/>
      <c r="X160" s="239"/>
      <c r="Y160" s="238"/>
      <c r="Z160" s="77">
        <f t="shared" si="17"/>
        <v>0.1523809523809524</v>
      </c>
      <c r="AA160" s="77" t="s">
        <v>1017</v>
      </c>
      <c r="AB160" s="77" t="s">
        <v>1015</v>
      </c>
    </row>
    <row r="161" spans="2:28" s="156" customFormat="1" ht="16.5">
      <c r="B161" s="430" t="s">
        <v>209</v>
      </c>
      <c r="C161" s="430"/>
      <c r="D161" s="430"/>
      <c r="E161" s="60">
        <f>SUM(E153:E160)</f>
        <v>8154.013822</v>
      </c>
      <c r="F161" s="80"/>
      <c r="G161" s="60">
        <f>SUM(G153:G160)</f>
        <v>1092.0392499999998</v>
      </c>
      <c r="H161" s="60">
        <f>SUM(H153:H160)</f>
        <v>1273.5</v>
      </c>
      <c r="I161" s="80"/>
      <c r="J161" s="80"/>
      <c r="K161" s="60">
        <f>SUM(K153:K160)</f>
        <v>1141.92</v>
      </c>
      <c r="L161" s="60">
        <f>SUM(L153:L160)</f>
        <v>1381.92</v>
      </c>
      <c r="M161" s="60">
        <f>SUM(M153:M160)</f>
        <v>275.79200000000003</v>
      </c>
      <c r="N161" s="60">
        <f>SUM(N153:N160)</f>
        <v>275.79200000000003</v>
      </c>
      <c r="O161" s="60"/>
      <c r="P161" s="80"/>
      <c r="Q161" s="80"/>
      <c r="R161" s="60"/>
      <c r="S161" s="60"/>
      <c r="T161" s="80"/>
      <c r="U161" s="80"/>
      <c r="V161" s="60"/>
      <c r="W161" s="60"/>
      <c r="X161" s="80"/>
      <c r="Y161" s="80"/>
      <c r="Z161" s="243">
        <f>+IF(L161=0,1,(IF(N161=0,M161/L161,N161/L161)))</f>
        <v>0.1995716105129096</v>
      </c>
      <c r="AA161" s="243"/>
      <c r="AB161" s="243"/>
    </row>
    <row r="162" spans="1:28" s="110" customFormat="1" ht="20.25" customHeight="1">
      <c r="A162" s="54"/>
      <c r="B162" s="69" t="s">
        <v>668</v>
      </c>
      <c r="C162" s="70"/>
      <c r="D162" s="70"/>
      <c r="E162" s="70"/>
      <c r="F162" s="70"/>
      <c r="G162" s="70"/>
      <c r="H162" s="64"/>
      <c r="I162" s="71"/>
      <c r="J162" s="71"/>
      <c r="K162" s="71"/>
      <c r="L162" s="71"/>
      <c r="M162" s="71"/>
      <c r="N162" s="71"/>
      <c r="O162" s="71"/>
      <c r="P162" s="71"/>
      <c r="Q162" s="71"/>
      <c r="R162" s="71"/>
      <c r="S162" s="71"/>
      <c r="T162" s="71"/>
      <c r="U162" s="71"/>
      <c r="V162" s="71"/>
      <c r="W162" s="71"/>
      <c r="X162" s="71"/>
      <c r="Y162" s="71"/>
      <c r="Z162" s="71"/>
      <c r="AA162" s="71"/>
      <c r="AB162" s="71"/>
    </row>
    <row r="163" spans="2:28" s="85" customFormat="1" ht="280.5">
      <c r="B163" s="74" t="s">
        <v>669</v>
      </c>
      <c r="C163" s="74" t="s">
        <v>670</v>
      </c>
      <c r="D163" s="74" t="s">
        <v>671</v>
      </c>
      <c r="E163" s="75">
        <v>5000</v>
      </c>
      <c r="F163" s="74" t="s">
        <v>672</v>
      </c>
      <c r="G163" s="75">
        <v>59.7</v>
      </c>
      <c r="H163" s="75">
        <v>183</v>
      </c>
      <c r="I163" s="79" t="s">
        <v>685</v>
      </c>
      <c r="J163" s="79" t="s">
        <v>168</v>
      </c>
      <c r="K163" s="75">
        <v>300</v>
      </c>
      <c r="L163" s="29">
        <v>300</v>
      </c>
      <c r="M163" s="242">
        <v>0</v>
      </c>
      <c r="N163" s="236">
        <v>0</v>
      </c>
      <c r="O163" s="236">
        <v>35</v>
      </c>
      <c r="P163" s="31" t="s">
        <v>1010</v>
      </c>
      <c r="Q163" s="238">
        <v>0</v>
      </c>
      <c r="R163" s="236"/>
      <c r="S163" s="236"/>
      <c r="T163" s="28"/>
      <c r="U163" s="238"/>
      <c r="V163" s="236"/>
      <c r="W163" s="236"/>
      <c r="X163" s="28"/>
      <c r="Y163" s="238"/>
      <c r="Z163" s="77">
        <f>+IF(L163=0,1,(IF(N163=0,M163/L163,N163/L163)))</f>
        <v>0</v>
      </c>
      <c r="AA163" s="77" t="s">
        <v>1052</v>
      </c>
      <c r="AB163" s="77" t="s">
        <v>527</v>
      </c>
    </row>
    <row r="164" spans="2:28" s="85" customFormat="1" ht="99">
      <c r="B164" s="74" t="s">
        <v>669</v>
      </c>
      <c r="C164" s="74" t="s">
        <v>670</v>
      </c>
      <c r="D164" s="74" t="s">
        <v>407</v>
      </c>
      <c r="E164" s="75">
        <v>800</v>
      </c>
      <c r="F164" s="74" t="s">
        <v>408</v>
      </c>
      <c r="G164" s="75">
        <v>0</v>
      </c>
      <c r="H164" s="75">
        <v>630</v>
      </c>
      <c r="I164" s="79" t="s">
        <v>686</v>
      </c>
      <c r="J164" s="79" t="s">
        <v>421</v>
      </c>
      <c r="K164" s="75">
        <v>0</v>
      </c>
      <c r="L164" s="29">
        <v>0</v>
      </c>
      <c r="M164" s="242">
        <v>0</v>
      </c>
      <c r="N164" s="236">
        <v>0</v>
      </c>
      <c r="O164" s="236">
        <v>0</v>
      </c>
      <c r="P164" s="31" t="s">
        <v>1011</v>
      </c>
      <c r="Q164" s="238">
        <v>0</v>
      </c>
      <c r="R164" s="236"/>
      <c r="S164" s="236"/>
      <c r="T164" s="28"/>
      <c r="U164" s="238"/>
      <c r="V164" s="236"/>
      <c r="W164" s="236"/>
      <c r="X164" s="28"/>
      <c r="Y164" s="238"/>
      <c r="Z164" s="77">
        <f>+IF(L164=0,1,(IF(N164=0,M164/L164,N164/L164)))</f>
        <v>1</v>
      </c>
      <c r="AA164" s="77" t="s">
        <v>1052</v>
      </c>
      <c r="AB164" s="77" t="s">
        <v>527</v>
      </c>
    </row>
    <row r="165" spans="2:28" s="85" customFormat="1" ht="132">
      <c r="B165" s="74" t="s">
        <v>669</v>
      </c>
      <c r="C165" s="74" t="s">
        <v>670</v>
      </c>
      <c r="D165" s="74" t="s">
        <v>409</v>
      </c>
      <c r="E165" s="75">
        <v>3000</v>
      </c>
      <c r="F165" s="74" t="s">
        <v>410</v>
      </c>
      <c r="G165" s="75">
        <v>471</v>
      </c>
      <c r="H165" s="75">
        <v>1620</v>
      </c>
      <c r="I165" s="79" t="s">
        <v>687</v>
      </c>
      <c r="J165" s="79"/>
      <c r="K165" s="75"/>
      <c r="L165" s="29"/>
      <c r="M165" s="242">
        <v>0</v>
      </c>
      <c r="N165" s="236">
        <v>0</v>
      </c>
      <c r="O165" s="236">
        <v>0</v>
      </c>
      <c r="P165" s="28" t="s">
        <v>1011</v>
      </c>
      <c r="Q165" s="238">
        <v>0</v>
      </c>
      <c r="R165" s="236"/>
      <c r="S165" s="236"/>
      <c r="T165" s="28"/>
      <c r="U165" s="238"/>
      <c r="V165" s="236"/>
      <c r="W165" s="236"/>
      <c r="X165" s="28"/>
      <c r="Y165" s="238"/>
      <c r="Z165" s="77">
        <f>+IF(L165=0,1,(IF(N165=0,M165/L165,N165/L165)))</f>
        <v>1</v>
      </c>
      <c r="AA165" s="77" t="s">
        <v>1052</v>
      </c>
      <c r="AB165" s="77" t="s">
        <v>527</v>
      </c>
    </row>
    <row r="166" spans="2:28" ht="16.5">
      <c r="B166" s="80" t="s">
        <v>209</v>
      </c>
      <c r="C166" s="80"/>
      <c r="D166" s="80"/>
      <c r="E166" s="60">
        <f>SUM(E163:E165)</f>
        <v>8800</v>
      </c>
      <c r="F166" s="80"/>
      <c r="G166" s="60">
        <f>SUM(G163:G165)</f>
        <v>530.7</v>
      </c>
      <c r="H166" s="60">
        <f>SUM(H163:H165)</f>
        <v>2433</v>
      </c>
      <c r="I166" s="80"/>
      <c r="J166" s="80"/>
      <c r="K166" s="60">
        <f aca="true" t="shared" si="18" ref="K166:V166">SUM(K163:K165)</f>
        <v>300</v>
      </c>
      <c r="L166" s="60">
        <f t="shared" si="18"/>
        <v>300</v>
      </c>
      <c r="M166" s="60">
        <f t="shared" si="18"/>
        <v>0</v>
      </c>
      <c r="N166" s="60">
        <f t="shared" si="18"/>
        <v>0</v>
      </c>
      <c r="O166" s="60"/>
      <c r="P166" s="80"/>
      <c r="Q166" s="80"/>
      <c r="R166" s="60">
        <f t="shared" si="18"/>
        <v>0</v>
      </c>
      <c r="S166" s="60"/>
      <c r="T166" s="80"/>
      <c r="U166" s="80"/>
      <c r="V166" s="60">
        <f t="shared" si="18"/>
        <v>0</v>
      </c>
      <c r="W166" s="60"/>
      <c r="X166" s="80"/>
      <c r="Y166" s="80"/>
      <c r="Z166" s="243">
        <f>+IF(L166=0,1,(IF(N166=0,M166/L166,N166/L166)))</f>
        <v>0</v>
      </c>
      <c r="AA166" s="243"/>
      <c r="AB166" s="243"/>
    </row>
    <row r="167" spans="2:28" ht="39" customHeight="1">
      <c r="B167" s="455" t="s">
        <v>489</v>
      </c>
      <c r="C167" s="455"/>
      <c r="D167" s="455"/>
      <c r="E167" s="60">
        <f>+E166+E161</f>
        <v>16954.013822</v>
      </c>
      <c r="F167" s="80"/>
      <c r="G167" s="60">
        <f>+G166+G161</f>
        <v>1622.7392499999999</v>
      </c>
      <c r="H167" s="60">
        <f>+H166+H161</f>
        <v>3706.5</v>
      </c>
      <c r="I167" s="80"/>
      <c r="J167" s="80"/>
      <c r="K167" s="60">
        <f aca="true" t="shared" si="19" ref="K167:V167">+K166+K161</f>
        <v>1441.92</v>
      </c>
      <c r="L167" s="60">
        <f t="shared" si="19"/>
        <v>1681.92</v>
      </c>
      <c r="M167" s="60">
        <f t="shared" si="19"/>
        <v>275.79200000000003</v>
      </c>
      <c r="N167" s="60">
        <f t="shared" si="19"/>
        <v>275.79200000000003</v>
      </c>
      <c r="O167" s="60"/>
      <c r="P167" s="80"/>
      <c r="Q167" s="80"/>
      <c r="R167" s="60">
        <f t="shared" si="19"/>
        <v>0</v>
      </c>
      <c r="S167" s="60"/>
      <c r="T167" s="80"/>
      <c r="U167" s="80"/>
      <c r="V167" s="60">
        <f t="shared" si="19"/>
        <v>0</v>
      </c>
      <c r="W167" s="60"/>
      <c r="X167" s="80"/>
      <c r="Y167" s="80"/>
      <c r="Z167" s="250">
        <f>+IF(L167=0,1,(IF(N167=0,M167/L167,N167/L167)))</f>
        <v>0.16397450532724506</v>
      </c>
      <c r="AA167" s="250"/>
      <c r="AB167" s="250"/>
    </row>
    <row r="168" spans="2:28" ht="31.5" customHeight="1">
      <c r="B168" s="67" t="s">
        <v>411</v>
      </c>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row>
    <row r="169" spans="1:28" s="110" customFormat="1" ht="19.5" customHeight="1">
      <c r="A169" s="54"/>
      <c r="B169" s="69" t="s">
        <v>412</v>
      </c>
      <c r="C169" s="71"/>
      <c r="D169" s="71"/>
      <c r="E169" s="71"/>
      <c r="F169" s="71"/>
      <c r="G169" s="71"/>
      <c r="H169" s="64"/>
      <c r="I169" s="71"/>
      <c r="J169" s="71"/>
      <c r="K169" s="71"/>
      <c r="L169" s="71"/>
      <c r="M169" s="71"/>
      <c r="N169" s="71"/>
      <c r="O169" s="71"/>
      <c r="P169" s="71"/>
      <c r="Q169" s="71"/>
      <c r="R169" s="71"/>
      <c r="S169" s="71"/>
      <c r="T169" s="71"/>
      <c r="U169" s="71"/>
      <c r="V169" s="71"/>
      <c r="W169" s="71"/>
      <c r="X169" s="71"/>
      <c r="Y169" s="71"/>
      <c r="Z169" s="71"/>
      <c r="AA169" s="71"/>
      <c r="AB169" s="71"/>
    </row>
    <row r="170" spans="2:28" s="85" customFormat="1" ht="409.5">
      <c r="B170" s="89" t="s">
        <v>413</v>
      </c>
      <c r="C170" s="89" t="s">
        <v>414</v>
      </c>
      <c r="D170" s="89" t="s">
        <v>415</v>
      </c>
      <c r="E170" s="75">
        <v>4356</v>
      </c>
      <c r="F170" s="103" t="s">
        <v>416</v>
      </c>
      <c r="G170" s="75">
        <v>366.671666</v>
      </c>
      <c r="H170" s="75">
        <v>1670</v>
      </c>
      <c r="I170" s="103" t="s">
        <v>335</v>
      </c>
      <c r="J170" s="103" t="s">
        <v>422</v>
      </c>
      <c r="K170" s="75">
        <v>1192</v>
      </c>
      <c r="L170" s="29">
        <v>949</v>
      </c>
      <c r="M170" s="75">
        <v>711.619</v>
      </c>
      <c r="N170" s="29">
        <v>759</v>
      </c>
      <c r="O170" s="29" t="s">
        <v>989</v>
      </c>
      <c r="P170" s="27" t="s">
        <v>990</v>
      </c>
      <c r="Q170" s="27" t="s">
        <v>991</v>
      </c>
      <c r="R170" s="29"/>
      <c r="S170" s="29"/>
      <c r="T170" s="229"/>
      <c r="U170" s="27"/>
      <c r="V170" s="29"/>
      <c r="W170" s="29"/>
      <c r="X170" s="229"/>
      <c r="Y170" s="27"/>
      <c r="Z170" s="247">
        <f>+IF(L170=0,1,(IF(N170=0,M170/L170,N170/L170)))</f>
        <v>0.7997892518440464</v>
      </c>
      <c r="AA170" s="77" t="s">
        <v>995</v>
      </c>
      <c r="AB170" s="77" t="s">
        <v>996</v>
      </c>
    </row>
    <row r="171" spans="2:28" s="85" customFormat="1" ht="330">
      <c r="B171" s="89" t="s">
        <v>413</v>
      </c>
      <c r="C171" s="89" t="s">
        <v>414</v>
      </c>
      <c r="D171" s="89" t="s">
        <v>832</v>
      </c>
      <c r="E171" s="75">
        <v>588.481658</v>
      </c>
      <c r="F171" s="89" t="s">
        <v>416</v>
      </c>
      <c r="G171" s="75">
        <v>64.930158</v>
      </c>
      <c r="H171" s="157">
        <v>272</v>
      </c>
      <c r="I171" s="103" t="s">
        <v>688</v>
      </c>
      <c r="J171" s="103" t="s">
        <v>833</v>
      </c>
      <c r="K171" s="75">
        <v>145</v>
      </c>
      <c r="L171" s="29">
        <v>208</v>
      </c>
      <c r="M171" s="157">
        <v>114.64</v>
      </c>
      <c r="N171" s="240">
        <v>115</v>
      </c>
      <c r="O171" s="240" t="s">
        <v>992</v>
      </c>
      <c r="P171" s="27" t="s">
        <v>993</v>
      </c>
      <c r="Q171" s="27" t="s">
        <v>994</v>
      </c>
      <c r="R171" s="240"/>
      <c r="S171" s="240"/>
      <c r="T171" s="229"/>
      <c r="U171" s="27"/>
      <c r="V171" s="240"/>
      <c r="W171" s="240"/>
      <c r="X171" s="229"/>
      <c r="Y171" s="27"/>
      <c r="Z171" s="77">
        <f>+IF(L171=0,1,(IF(N171=0,M171/L171,N171/L171)))</f>
        <v>0.5528846153846154</v>
      </c>
      <c r="AA171" s="77" t="s">
        <v>995</v>
      </c>
      <c r="AB171" s="77" t="s">
        <v>996</v>
      </c>
    </row>
    <row r="172" spans="2:28" ht="26.25" customHeight="1">
      <c r="B172" s="80" t="s">
        <v>404</v>
      </c>
      <c r="C172" s="80"/>
      <c r="D172" s="80"/>
      <c r="E172" s="60">
        <f>SUM(E170:E171)</f>
        <v>4944.481658</v>
      </c>
      <c r="F172" s="80"/>
      <c r="G172" s="60">
        <f>SUM(G170:G171)</f>
        <v>431.601824</v>
      </c>
      <c r="H172" s="60">
        <f>SUM(H170:H171)</f>
        <v>1942</v>
      </c>
      <c r="I172" s="80"/>
      <c r="J172" s="80"/>
      <c r="K172" s="60">
        <f aca="true" t="shared" si="20" ref="K172:V172">SUM(K170:K171)</f>
        <v>1337</v>
      </c>
      <c r="L172" s="60">
        <f t="shared" si="20"/>
        <v>1157</v>
      </c>
      <c r="M172" s="60">
        <f t="shared" si="20"/>
        <v>826.259</v>
      </c>
      <c r="N172" s="60">
        <f t="shared" si="20"/>
        <v>874</v>
      </c>
      <c r="O172" s="60"/>
      <c r="P172" s="80"/>
      <c r="Q172" s="80"/>
      <c r="R172" s="60">
        <f t="shared" si="20"/>
        <v>0</v>
      </c>
      <c r="S172" s="60"/>
      <c r="T172" s="80"/>
      <c r="U172" s="80"/>
      <c r="V172" s="60">
        <f t="shared" si="20"/>
        <v>0</v>
      </c>
      <c r="W172" s="60"/>
      <c r="X172" s="80"/>
      <c r="Y172" s="80"/>
      <c r="Z172" s="250">
        <f>+IF(L172=0,1,(IF(N172=0,M172/L172,N172/L172)))</f>
        <v>0.7554019014693172</v>
      </c>
      <c r="AA172" s="250"/>
      <c r="AB172" s="250"/>
    </row>
    <row r="173" spans="2:28" ht="28.5" customHeight="1">
      <c r="B173" s="67" t="s">
        <v>834</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row>
    <row r="174" spans="2:28" ht="17.25" customHeight="1">
      <c r="B174" s="69" t="s">
        <v>835</v>
      </c>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251"/>
      <c r="AA174" s="251"/>
      <c r="AB174" s="251"/>
    </row>
    <row r="175" spans="2:28" ht="49.5">
      <c r="B175" s="88" t="s">
        <v>836</v>
      </c>
      <c r="C175" s="88" t="s">
        <v>837</v>
      </c>
      <c r="D175" s="88" t="s">
        <v>838</v>
      </c>
      <c r="E175" s="75">
        <v>480</v>
      </c>
      <c r="F175" s="88">
        <v>392</v>
      </c>
      <c r="G175" s="75"/>
      <c r="H175" s="75">
        <v>65</v>
      </c>
      <c r="I175" s="84" t="s">
        <v>839</v>
      </c>
      <c r="J175" s="84"/>
      <c r="K175" s="84"/>
      <c r="L175" s="30"/>
      <c r="M175" s="84"/>
      <c r="N175" s="30"/>
      <c r="O175" s="30"/>
      <c r="P175" s="30"/>
      <c r="Q175" s="30"/>
      <c r="R175" s="30"/>
      <c r="S175" s="30"/>
      <c r="T175" s="30"/>
      <c r="U175" s="30"/>
      <c r="V175" s="30"/>
      <c r="W175" s="30"/>
      <c r="X175" s="30"/>
      <c r="Y175" s="30"/>
      <c r="Z175" s="247">
        <f>+IF(L175=0,1,(IF(N175=0,M175/L175,N175/L175)))</f>
        <v>1</v>
      </c>
      <c r="AA175" s="77"/>
      <c r="AB175" s="77"/>
    </row>
    <row r="176" spans="2:28" ht="99">
      <c r="B176" s="74" t="s">
        <v>877</v>
      </c>
      <c r="C176" s="74" t="s">
        <v>694</v>
      </c>
      <c r="D176" s="74" t="s">
        <v>880</v>
      </c>
      <c r="E176" s="75">
        <v>1637</v>
      </c>
      <c r="F176" s="74" t="s">
        <v>881</v>
      </c>
      <c r="G176" s="75"/>
      <c r="H176" s="75">
        <f>94+124</f>
        <v>218</v>
      </c>
      <c r="I176" s="84" t="s">
        <v>882</v>
      </c>
      <c r="J176" s="84"/>
      <c r="K176" s="84"/>
      <c r="L176" s="30"/>
      <c r="M176" s="84"/>
      <c r="N176" s="30"/>
      <c r="O176" s="30"/>
      <c r="P176" s="30"/>
      <c r="Q176" s="30"/>
      <c r="R176" s="30"/>
      <c r="S176" s="30"/>
      <c r="T176" s="30"/>
      <c r="U176" s="30"/>
      <c r="V176" s="30"/>
      <c r="W176" s="30"/>
      <c r="X176" s="30"/>
      <c r="Y176" s="30"/>
      <c r="Z176" s="77">
        <f>+IF(L176=0,1,(IF(N176=0,M176/L176,N176/L176)))</f>
        <v>1</v>
      </c>
      <c r="AA176" s="77"/>
      <c r="AB176" s="77"/>
    </row>
    <row r="177" spans="2:28" ht="16.5">
      <c r="B177" s="455" t="s">
        <v>883</v>
      </c>
      <c r="C177" s="455"/>
      <c r="D177" s="455"/>
      <c r="E177" s="60">
        <f>SUM(E175:E176)</f>
        <v>2117</v>
      </c>
      <c r="F177" s="80"/>
      <c r="G177" s="60">
        <f>SUM(G176)</f>
        <v>0</v>
      </c>
      <c r="H177" s="60">
        <f>SUM(H175:H176)</f>
        <v>283</v>
      </c>
      <c r="I177" s="80"/>
      <c r="J177" s="80"/>
      <c r="K177" s="60">
        <f aca="true" t="shared" si="21" ref="K177:V177">SUM(K175:K176)</f>
        <v>0</v>
      </c>
      <c r="L177" s="60">
        <f t="shared" si="21"/>
        <v>0</v>
      </c>
      <c r="M177" s="60">
        <f t="shared" si="21"/>
        <v>0</v>
      </c>
      <c r="N177" s="60">
        <f t="shared" si="21"/>
        <v>0</v>
      </c>
      <c r="O177" s="60"/>
      <c r="P177" s="80"/>
      <c r="Q177" s="80"/>
      <c r="R177" s="60">
        <f t="shared" si="21"/>
        <v>0</v>
      </c>
      <c r="S177" s="60"/>
      <c r="T177" s="80"/>
      <c r="U177" s="80"/>
      <c r="V177" s="60">
        <f t="shared" si="21"/>
        <v>0</v>
      </c>
      <c r="W177" s="60"/>
      <c r="X177" s="80"/>
      <c r="Y177" s="80"/>
      <c r="Z177" s="243">
        <f>+IF(L177=0,1,(IF(N177=0,M177/L177,N177/L177)))</f>
        <v>1</v>
      </c>
      <c r="AA177" s="243"/>
      <c r="AB177" s="243"/>
    </row>
    <row r="178" spans="2:28" ht="16.5">
      <c r="B178" s="455" t="s">
        <v>884</v>
      </c>
      <c r="C178" s="455"/>
      <c r="D178" s="455"/>
      <c r="E178" s="60">
        <f>+E177+E172+E167+E150+E146+E118+E67+E21</f>
        <v>11329199.247185398</v>
      </c>
      <c r="F178" s="80"/>
      <c r="G178" s="60">
        <f>+G177+G172+G167+G150+G146+G118+G67+G21</f>
        <v>2044464.0336412557</v>
      </c>
      <c r="H178" s="60">
        <f>+H177+H172+H167+H150+H146+H118+H67+H21</f>
        <v>2205722.2532911142</v>
      </c>
      <c r="I178" s="80"/>
      <c r="J178" s="80"/>
      <c r="K178" s="60">
        <f aca="true" t="shared" si="22" ref="K178:V178">+K177+K172+K167+K150+K146+K118+K67+K21</f>
        <v>326396234582.9073</v>
      </c>
      <c r="L178" s="60">
        <f t="shared" si="22"/>
        <v>330083564017.89276</v>
      </c>
      <c r="M178" s="60">
        <f t="shared" si="22"/>
        <v>91550090435.14244</v>
      </c>
      <c r="N178" s="60">
        <f t="shared" si="22"/>
        <v>111461640223.0698</v>
      </c>
      <c r="O178" s="60"/>
      <c r="P178" s="80"/>
      <c r="Q178" s="80"/>
      <c r="R178" s="60">
        <f t="shared" si="22"/>
        <v>0</v>
      </c>
      <c r="S178" s="60"/>
      <c r="T178" s="80"/>
      <c r="U178" s="80"/>
      <c r="V178" s="60">
        <f t="shared" si="22"/>
        <v>0</v>
      </c>
      <c r="W178" s="60"/>
      <c r="X178" s="80"/>
      <c r="Y178" s="80"/>
      <c r="Z178" s="243">
        <f>+IF(L178=0,1,(IF(N178=0,M178/L178,N178/L178)))</f>
        <v>0.33767703810004857</v>
      </c>
      <c r="AA178" s="243"/>
      <c r="AB178" s="243"/>
    </row>
  </sheetData>
  <sheetProtection sheet="1" autoFilter="0"/>
  <protectedRanges>
    <protectedRange sqref="AA150:AB169 AA172:AB176 AA46:AB69 AA21:AB37 AA40:AB43 AA107:AB148" name="Rango3"/>
    <protectedRange sqref="R8:Y176 N172:Q176 N107:Q148 N21:N23 P21:Q69 N25:N69 P74:Q74 O21:O75 N80:Q87 N89:Q93 O150:Q169 N150:N160 N162:N169" name="Rango2"/>
    <protectedRange sqref="L172:L176 L39:L70 L8:L31 L37 L73:L74 L76:L81 L83:L86 L89:L95 L97:L170" name="Rango1"/>
    <protectedRange sqref="N70" name="Rango2_1"/>
    <protectedRange sqref="P70:Q70" name="Rango2_2"/>
    <protectedRange sqref="L71" name="Rango1_1"/>
    <protectedRange sqref="N71" name="Rango2_3"/>
    <protectedRange sqref="P71:Q71" name="Rango2_5"/>
    <protectedRange sqref="L72" name="Rango1_2"/>
    <protectedRange sqref="N72" name="Rango2_6"/>
    <protectedRange sqref="P72:Q72" name="Rango2_7"/>
    <protectedRange sqref="N73" name="Rango2_8"/>
    <protectedRange sqref="P73:Q73" name="Rango2_9"/>
    <protectedRange sqref="N74" name="Rango2_4"/>
    <protectedRange sqref="N170:Q171" name="Rango2_10"/>
    <protectedRange sqref="L171" name="Rango1_3"/>
    <protectedRange sqref="AA170:AB171" name="Rango3_5"/>
    <protectedRange sqref="N149:Q149" name="Rango2_11"/>
    <protectedRange sqref="AA149:AB149" name="Rango3_6"/>
    <protectedRange sqref="N24" name="Rango2_12"/>
    <protectedRange sqref="L32" name="Rango1_7"/>
    <protectedRange sqref="L33" name="Rango1_8"/>
    <protectedRange sqref="L34" name="Rango1_9"/>
    <protectedRange sqref="L35" name="Rango1_10"/>
    <protectedRange sqref="L36" name="Rango1_11"/>
    <protectedRange sqref="L38" name="Rango1_12"/>
    <protectedRange sqref="N8:Q20" name="Rango2_13"/>
    <protectedRange sqref="AA8:AB20" name="Rango3_7"/>
    <protectedRange sqref="AA38:AB39" name="Rango3_8"/>
    <protectedRange sqref="AA44:AB45" name="Rango3_9"/>
    <protectedRange sqref="N75" name="Rango2_15"/>
    <protectedRange sqref="P75:Q75" name="Rango2_16"/>
    <protectedRange sqref="L75" name="Rango1_6"/>
    <protectedRange sqref="N76:Q76" name="Rango2_17"/>
    <protectedRange sqref="N77:Q77" name="Rango2_18"/>
    <protectedRange sqref="N78:Q78" name="Rango2_19"/>
    <protectedRange sqref="N79:Q79" name="Rango2_20"/>
    <protectedRange sqref="L82" name="Rango1_13"/>
    <protectedRange sqref="L87" name="Rango1_14"/>
    <protectedRange sqref="O88:Q88" name="Rango2_14"/>
    <protectedRange sqref="N94:Q94" name="Rango2_26"/>
    <protectedRange sqref="N95:Q95" name="Rango2_27"/>
    <protectedRange sqref="L96" name="Rango1_5"/>
    <protectedRange sqref="N96:Q96" name="Rango2_28"/>
    <protectedRange sqref="N97:Q97" name="Rango2_29"/>
    <protectedRange sqref="N98:Q98" name="Rango2_30"/>
    <protectedRange sqref="N99:Q99" name="Rango2_31"/>
    <protectedRange sqref="N100:Q100" name="Rango2_32"/>
    <protectedRange sqref="N101:Q101" name="Rango2_33"/>
    <protectedRange sqref="N102:Q102" name="Rango2_34"/>
    <protectedRange sqref="N103:Q103" name="Rango2_35"/>
    <protectedRange sqref="N104:Q104" name="Rango2_36"/>
    <protectedRange sqref="N105:Q105" name="Rango2_37"/>
    <protectedRange sqref="N106:Q106" name="Rango2_38"/>
    <protectedRange sqref="AA70:AB106" name="Rango3_10"/>
  </protectedRanges>
  <autoFilter ref="A4:AC178"/>
  <mergeCells count="49">
    <mergeCell ref="AA3:AB3"/>
    <mergeCell ref="E57:E58"/>
    <mergeCell ref="B57:B58"/>
    <mergeCell ref="C57:C58"/>
    <mergeCell ref="C10:C11"/>
    <mergeCell ref="C12:C14"/>
    <mergeCell ref="E10:E11"/>
    <mergeCell ref="B21:D21"/>
    <mergeCell ref="B107:C107"/>
    <mergeCell ref="B117:C117"/>
    <mergeCell ref="B139:B140"/>
    <mergeCell ref="C139:C140"/>
    <mergeCell ref="D139:D140"/>
    <mergeCell ref="B143:B144"/>
    <mergeCell ref="C143:C144"/>
    <mergeCell ref="C154:C157"/>
    <mergeCell ref="B167:D167"/>
    <mergeCell ref="B159:B160"/>
    <mergeCell ref="F159:F160"/>
    <mergeCell ref="F154:F157"/>
    <mergeCell ref="B118:D118"/>
    <mergeCell ref="D143:D144"/>
    <mergeCell ref="B63:B65"/>
    <mergeCell ref="C63:C65"/>
    <mergeCell ref="D63:D65"/>
    <mergeCell ref="B178:D178"/>
    <mergeCell ref="B177:D177"/>
    <mergeCell ref="B154:B157"/>
    <mergeCell ref="B161:D161"/>
    <mergeCell ref="D155:D156"/>
    <mergeCell ref="C159:C160"/>
    <mergeCell ref="B59:B60"/>
    <mergeCell ref="D57:D58"/>
    <mergeCell ref="B12:B14"/>
    <mergeCell ref="E12:E14"/>
    <mergeCell ref="D15:D16"/>
    <mergeCell ref="C15:C16"/>
    <mergeCell ref="B15:B16"/>
    <mergeCell ref="E15:E16"/>
    <mergeCell ref="E143:E144"/>
    <mergeCell ref="B1:Z1"/>
    <mergeCell ref="C8:C9"/>
    <mergeCell ref="E8:E9"/>
    <mergeCell ref="B3:F3"/>
    <mergeCell ref="H3:I3"/>
    <mergeCell ref="J3:Z3"/>
    <mergeCell ref="B8:B9"/>
    <mergeCell ref="B10:B11"/>
    <mergeCell ref="D10:D11"/>
  </mergeCells>
  <printOptions horizontalCentered="1"/>
  <pageMargins left="0.1968503937007874" right="0.15748031496062992" top="0.2362204724409449" bottom="0.5511811023622047" header="0" footer="0"/>
  <pageSetup fitToWidth="20" horizontalDpi="600" verticalDpi="600" orientation="landscape" scale="4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Jeanet Constanza Saenz Gonzalez</cp:lastModifiedBy>
  <cp:lastPrinted>2010-04-08T22:45:18Z</cp:lastPrinted>
  <dcterms:created xsi:type="dcterms:W3CDTF">2010-01-21T16:10:56Z</dcterms:created>
  <dcterms:modified xsi:type="dcterms:W3CDTF">2013-12-04T13:43:13Z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