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60" windowWidth="15135" windowHeight="5580" tabRatio="711" activeTab="0"/>
  </bookViews>
  <sheets>
    <sheet name="Pag inicio" sheetId="1" r:id="rId1"/>
    <sheet name="Caracterización" sheetId="2" r:id="rId2"/>
    <sheet name="Proyecciones NNA" sheetId="3" r:id="rId3"/>
    <sheet name="Presupuesto rv" sheetId="4" r:id="rId4"/>
    <sheet name="Ind generales" sheetId="5" r:id="rId5"/>
  </sheets>
  <definedNames>
    <definedName name="_xlnm._FilterDatabase" localSheetId="3" hidden="1">'Presupuesto rv'!$A$5:$X$5</definedName>
    <definedName name="_xlnm.Print_Area" localSheetId="3">'Presupuesto rv'!$B$1:$X$208</definedName>
    <definedName name="_xlnm.Print_Titles" localSheetId="3">'Presupuesto rv'!$2:$4</definedName>
  </definedNames>
  <calcPr fullCalcOnLoad="1"/>
</workbook>
</file>

<file path=xl/comments4.xml><?xml version="1.0" encoding="utf-8"?>
<comments xmlns="http://schemas.openxmlformats.org/spreadsheetml/2006/main">
  <authors>
    <author>gpvillegas</author>
  </authors>
  <commentList>
    <comment ref="K106" authorId="0">
      <text>
        <r>
          <rPr>
            <sz val="8"/>
            <color indexed="10"/>
            <rFont val="Tahoma"/>
            <family val="2"/>
          </rPr>
          <t>SDS. Por modificaciones presupuestales de acuerdo con las necesidades del poryecto se da una variación entre los recursos programados y el presupuesto vigente.</t>
        </r>
        <r>
          <rPr>
            <sz val="9"/>
            <rFont val="Tahoma"/>
            <family val="2"/>
          </rPr>
          <t xml:space="preserve">
</t>
        </r>
      </text>
    </comment>
    <comment ref="K107" authorId="0">
      <text>
        <r>
          <rPr>
            <sz val="8"/>
            <color indexed="10"/>
            <rFont val="Tahoma"/>
            <family val="2"/>
          </rPr>
          <t>SDS. Por modificaciones presupuestales de acuerdo con las necesidades del poryecto se da una variación entre los recursos programados y el presupuesto vigente.</t>
        </r>
      </text>
    </comment>
  </commentList>
</comments>
</file>

<file path=xl/sharedStrings.xml><?xml version="1.0" encoding="utf-8"?>
<sst xmlns="http://schemas.openxmlformats.org/spreadsheetml/2006/main" count="1501" uniqueCount="573">
  <si>
    <t xml:space="preserve">Se proyecta apoyar 49 iniciativas de emprendimientos, producción y promoción cultural </t>
  </si>
  <si>
    <t>1.Atender de manera integral 450 Niños y niñas  en situación de vida en calle en  modalidad institucionalizada.
2. Atender de manera integral 213 niños y niñas en situación de vida en calle en  modalidad de externado.</t>
  </si>
  <si>
    <t>Realizar  Investigación de Problemática del fenómeno callejero y en alta vulnerabilidad social</t>
  </si>
  <si>
    <t>Adecuar mantener y dotar 26 Unidades Educativas y Dependencias del IDIPRON</t>
  </si>
  <si>
    <t>Asegurar en 26 Unidades Educativas y dependencias servicios de apoyo operativo y vigilancia continuo diurno y nocturno</t>
  </si>
  <si>
    <t>Implementar en 60 % Una metodología informática que dinamice y estimule los procesos estratégicos, misionales, de apoyo y evaluación que se hacen efectivos en las diferentes unidades educativas y dependencias del IDIPRON.</t>
  </si>
  <si>
    <t>Lograr el 40% de no reincidencia en la utilización de la violencia intrafamiliar y el maltrato infantil para el manejo de los conflictos, atendidos por comisarías de familia.</t>
  </si>
  <si>
    <t>A junio de 2012 afiliar a 892.415 nuevos ciudadanos al Régimen Subsidiado.</t>
  </si>
  <si>
    <t>Incrementar en un 25% la cobertura del Programa de Salud Oral (flúor, sellantes, control de placa y detartraje) en la población afiliada a los regímenes subsidiado y contributivo.</t>
  </si>
  <si>
    <t>Cubrir 68 instituciones para la atención de menores en protección con la estrategia de gestión y acción en salud pública</t>
  </si>
  <si>
    <t>Tener implementada en el 100% de las Empresas Sociales del Estado adscritas a la SDS las estrategias de atención materno infantil AIEPI, IAMI y IAFI infantil AIEPI, IAMI y IAFI.</t>
  </si>
  <si>
    <t>7194 - Atención alimenticia a los asistidos</t>
  </si>
  <si>
    <t>Infancia y adolescencia feliz y protegida integralmente</t>
  </si>
  <si>
    <t>Monitorear la reducción de desnutrición global en niños menores de 5 años.</t>
  </si>
  <si>
    <t>627 - Comunidades saludables</t>
  </si>
  <si>
    <t>630 - Salud al trabajo</t>
  </si>
  <si>
    <t>Garantía del aseguramiento y atención en salud</t>
  </si>
  <si>
    <t>623-Salud a su casa</t>
  </si>
  <si>
    <t>Cubrir a 425 micro territorios con acciones preventivas de salud para el núcleo familiar, con énfasis en niños y niñas</t>
  </si>
  <si>
    <t>N/A</t>
  </si>
  <si>
    <t>Consolidar 126 escuelas deportivas entre especialización, iniciación y perfeccionamiento</t>
  </si>
  <si>
    <t>Se proyecta que de los 900 deportistas a apoyar, 165 sean adolescentes.</t>
  </si>
  <si>
    <t>Garantizar la Realización de la Fiesta de Niñas y Niños 2010</t>
  </si>
  <si>
    <t xml:space="preserve">Entrega de dos (2) premios en la modalidad danza tradicional y de proyección folclórica colombiana, un (1) premio en la modalidad salsa y dos (2) premios en la modalidad danza urbana, en la categoria niños y niñas de estos concursos. </t>
  </si>
  <si>
    <t>Implementar estrategias tendientes a la erradicación del trabajo infantil de la población recicladora de oficio en condiciones de pobreza y vulnerabilidad. META: vincular a 1200 menores, hijos de recicladores, a programas tendientes a la erradicación del trabajo infantil</t>
  </si>
  <si>
    <t>120 niñas y niñas</t>
  </si>
  <si>
    <t>60 cupos</t>
  </si>
  <si>
    <t>El total propuesto del proyecto es la vinculación de 4.000 jóvenes en las acciones del proyecto de las cuales se estima que 1.500 serán niños, niñas y adolescentes y los demás estarán entre los 18 y 26 años.</t>
  </si>
  <si>
    <t>Atender a 2550 niños y niñas y 250 adolescentes, hijos de la población en proceso de reinserción.</t>
  </si>
  <si>
    <t>Atender 355  niños y niñas y 4045 jovénes, hijos de la pobalción en proceso de reinserción y las comunidades de acogida.</t>
  </si>
  <si>
    <t>Equipos Tecnologicos</t>
  </si>
  <si>
    <t>Hasta la fecha no se han programado recursos para este componente de infancia-adolescencia</t>
  </si>
  <si>
    <t>Alcanzar 290.000 visitantes atendidos a través de interpretación ambiental, foros, eventos, exposiciones, actividades externas, docentes vinculados en procesos de cualificación y actualización y participantes en el monitoreo del PRAE de los colegios asesorados.</t>
  </si>
  <si>
    <t xml:space="preserve">TOTAL BOGOTA POSITIVA: </t>
  </si>
  <si>
    <t>Salud Para la Vida Digna</t>
  </si>
  <si>
    <t>Lograr la mejoría del estado nutricional de 3.200 personas menores de 7 años condesnutrición aguda, gestantes y recien nacidos con bajo peso al nacer notificados al SISBEN y con investigación epidemiológica de campo de control</t>
  </si>
  <si>
    <t>Promoción de una Alimentación Sana</t>
  </si>
  <si>
    <t>Incrementar en un 10% la prevalencia de lactancia materna exclusiva a los seis meses de edad</t>
  </si>
  <si>
    <t>Suplementar a 300.000 niños o niñas menores de 12 años con sulfato ferroso</t>
  </si>
  <si>
    <t>Reducir la mortalidad infantil a menos de 12 por mil nacidos vivos</t>
  </si>
  <si>
    <t>Ciudad para la Salud y la Vida</t>
  </si>
  <si>
    <t xml:space="preserve">Reducir en 100% los embarazos en adolescentes entre 10 y 14 años (abuso sexual) </t>
  </si>
  <si>
    <t xml:space="preserve">Inclusión de nuevos biológicos para el PAI de la ciudad así: Hepatitis A en población de 12 a 23 meses  y Rota virus de la población de 2 a 6 meses de edad. </t>
  </si>
  <si>
    <r>
      <t xml:space="preserve">Garantizar 20 mil vacunas anuales contra neumococo para recién nacidos de sisben 1 y 2 (Concejo - Acuerdo Plan de desarrollo). </t>
    </r>
  </si>
  <si>
    <t>Fortalecer la línea amiga de las niñas, niños y adolescentes 106 [atención 24 horas]</t>
  </si>
  <si>
    <t>Aumentar la lactancia materna hasta los seis meses de edad (Mandato del plan de desarrollo aprobado por acuerdo - Concejo)</t>
  </si>
  <si>
    <t>Identificar 20.000 niñas y niños trabajadores, para promover la desvinculación laboral y su inclusión y permanencia en el sistema educativo</t>
  </si>
  <si>
    <t>TOTAL SECTOR</t>
  </si>
  <si>
    <t>Sector: Cultura, Recreación y Deporte</t>
  </si>
  <si>
    <t>EJECUCIÓN 2009</t>
  </si>
  <si>
    <t>Metas Programadas</t>
  </si>
  <si>
    <t>Recursos Programados
(millones $)</t>
  </si>
  <si>
    <t>SEGUIMIENTO 2010</t>
  </si>
  <si>
    <t>Realizar el 100% de seguimiento a los casos denunciados de maltrato infantil, delitos sexuales contra niños, niñas y adolescentes remitidos  por las Comisarías de Familia a las entidades competentes del sistema judicial (Fiscalía general de la Nación) para investigación penal.</t>
  </si>
  <si>
    <t>*  Atender 350 personas /año en servicios especializados a mujeres víctimas de violencia intrafamiliar o sexual  y niños-as y adolescentes victimas de explotación sexual comercial.
*  Atender 455 cupos/año a niños y niñas con medidas de protección legal de acuerdo a la Ley 1098 de 2006 (Art. 51,53 y 198). Atender 275 grupos familiares en servicio de atención terapéutica</t>
  </si>
  <si>
    <t>Atender  5.100 Niñas, niños y adolescentes Contra la explotación laboral a través de los Centros Amar de Integración.</t>
  </si>
  <si>
    <t xml:space="preserve">No se cuenta con recursos suficientes para  el desarrollo del proceso de formación </t>
  </si>
  <si>
    <t xml:space="preserve">Acreditación de 16 Salas Amigas de la Familia Lactante </t>
  </si>
  <si>
    <t xml:space="preserve">Reacreditación de 12 Salas Amigas de la Famila Lactante </t>
  </si>
  <si>
    <t xml:space="preserve">Atender en 50.301 cupos de educación inicial a 58.921  niños  y niñas en eduación inicial </t>
  </si>
  <si>
    <t xml:space="preserve">735 niños y niñas incluidos en jardines infantiles </t>
  </si>
  <si>
    <t>Garantizar el funcionamiento de los Consejos locales y distrital de niños y niñas, articulando sus  acciones con las entidades públicas, privadas y del tercer sector, generando  recomendaciones y propuestas sobre los temas que interesan a los niños y niñas  de la  ciudad.</t>
  </si>
  <si>
    <t>*  Brindar 8.650  cupos mensuales  de bonos de apoyo alimentario a mujeres gestantes y lactantes con gestaciones únicas.
*  Brindar 100 cupos mensuales de bonos apoyo alimentario a mujeres gestantes y lactantes con gestaciones múltiples.
*  Brindar 2.200 cupos mensuales de bonos complementarios a la mujer gestante con bajo peso y a madres con hijos-as nacidos-as con bajo peso.</t>
  </si>
  <si>
    <t>Suministrar la atención en comedores comunitarios de 41.226 niños, niñas y adolescentes.</t>
  </si>
  <si>
    <t>Atender a 100.329 familias con derechos vulnerados a través de acceso a la justicia familiar y social,  promoción y restitución de derechos 
No se cuenta con recursos sufientes que permitan el cumplimiento de la meta.  Se desarrollaran acciones de coordinación tanto internas como externas que permitan la atención a familias.</t>
  </si>
  <si>
    <t>No tiene programación para la vigencia.  Se teminara la consolidación y firma de los acuerdos restantes de 2009</t>
  </si>
  <si>
    <t xml:space="preserve">Se proyecta formar 48.000 adolescentes; 14-17 años </t>
  </si>
  <si>
    <t>Se poryecta informar y sensibilizar a 80.000 adolescentes de 14-17 años.</t>
  </si>
  <si>
    <t xml:space="preserve">INFORMACIÓN PLAN DE DESARROLLO </t>
  </si>
  <si>
    <t>EJECUCIÓN 2008</t>
  </si>
  <si>
    <t>749 niños, niñas y 50 jóvenes</t>
  </si>
  <si>
    <t xml:space="preserve">Se han beneficiado:  429 niñas y niños </t>
  </si>
  <si>
    <t xml:space="preserve">980 personas se han vinculado, de las cuales  852 son del rango de  infancia; 113 adolescentes y 15 jóvenes en las escuelas de arte (música, artes plásticas, teatro, danzas, literatura y ciencia). Se reporta lo mismo que en el tercer trimestre debido a que las acciones no se han comenzado, en el cuarto trimestre se suscribió el convenio con la OIM con el fin de desarrollar la acción planificada en el mes de noviembre de 2009. La vinculación de poblaciones, se estará dando a partir del mes de enero en la vigencia 2010.      </t>
  </si>
  <si>
    <t>En todo el año se beneficiaron: 1500 niños y niñas entre 3 y 12 años de edad y 850 niños y niñas entre 5 y 16 años de edad, 250 niños y niñas entre 8 y 17 años de edad, para un total de 2,410 niños.</t>
  </si>
  <si>
    <t>En todo el año se beneficiaron:
195 niños y niñas entre los 6 y 14 años,  5,232 adolescentes  entre los 14 y 17 años
y 120 jóvenes entre 18 y 26 años de edad; para un total de 5,547.</t>
  </si>
  <si>
    <t>Disminuir la mortalidad por enfermedad diarreica aguda (EDA) a 2,5 casos por 100.000 menores de cinco años</t>
  </si>
  <si>
    <t>Disminuir la mortalidad por neumonía a 17 casos por 100.000 menores de cinco años.</t>
  </si>
  <si>
    <t>Seguimiento  - Mantenimiento a los 325 microterritorios caracterizados.</t>
  </si>
  <si>
    <t>Incrementar 300.000 cupos en régimen subsidiado para alcanzar 1.670.000 cupoS</t>
  </si>
  <si>
    <t>385 Universalización de la Atención en Salud</t>
  </si>
  <si>
    <t>Garantiar en 100%  la atención de la poblaicón vinculada al Sistema general de Seguridad Social  en Salud [GSSS].</t>
  </si>
  <si>
    <t>BOGOTA SIN INDIFERENCIA</t>
  </si>
  <si>
    <t>Sensibilizar 425.000 personas con acciones para fortalecer una base social, cultural e institucional que posibilite la reintegración de excombatientes</t>
  </si>
  <si>
    <t>ENTIDAD: Fondo de Vigilancia y Seguridad de Bogotá - FVS</t>
  </si>
  <si>
    <t>Bogota Segura y Humana</t>
  </si>
  <si>
    <t>Sistema Distrital de Justicia</t>
  </si>
  <si>
    <t>Fortalecimiento de Infancia y Adolescencia</t>
  </si>
  <si>
    <t>Fortalecimiento de los organismos de la policía judicial para incrementar la seguridad y la investigación</t>
  </si>
  <si>
    <t xml:space="preserve">Infancia y Adolescencia Feliz y Protegida Integralmente </t>
  </si>
  <si>
    <t xml:space="preserve">Desarrollar acciones y campañas para mejorar la seguridad de niños, niñas y adolescentes </t>
  </si>
  <si>
    <t xml:space="preserve">No se reporta población beneficiada </t>
  </si>
  <si>
    <t xml:space="preserve">Garantizar 1.450 cupos para la atención de niños, niñas y adolescentes en condición de discapacidad cognitiva </t>
  </si>
  <si>
    <t>Vincular 20.000 niños, niñas y sus familias a procesos de atención integral para el desarrollo psicosocial expuestos a situaciones de vulneración de derechos (explotación laboral, maltrato infantil, desplazamiento, abandono, vinculados al conflicto armado</t>
  </si>
  <si>
    <t>Proteger contra la explotación laboral a 5.100 niños y niñas anualmente</t>
  </si>
  <si>
    <t xml:space="preserve">Meta de Ciudad:  reducir el 100% de embarazos en adolescentes de 10 a 14 años.
Implementar acciones educativas, legales y de control para la restitución de los derechos de los niños, niñas y jóvenes victimas de abuso sexual </t>
  </si>
  <si>
    <t xml:space="preserve">No se reporta población atendida </t>
  </si>
  <si>
    <t xml:space="preserve">Meta de Ciudad:  Aumentar a 6 meses la lactancia materna exclusiva. 
</t>
  </si>
  <si>
    <t xml:space="preserve">                         H            M
0 - 5      363.608   346.744
Se toma toda la población de 0-5 años como beneficiaria del proyecto ya que las acciones de promoción y difusión van dirigidas a mejorar la calidad de vida de toda esta población.</t>
  </si>
  <si>
    <t xml:space="preserve">Meta de Ciudad:  Aumentar a 6 meses la lactancia materna exclusiva
</t>
  </si>
  <si>
    <t xml:space="preserve">Implementar acciones educativas, legales y de control para la restitución de los derechos de los niños, niñas y jóvenes victimas de abuso sexual </t>
  </si>
  <si>
    <t xml:space="preserve">203 Policias profesionales  de la  especialidad Infancia y adolescencia (como beneficiarios directos). </t>
  </si>
  <si>
    <t xml:space="preserve">180 efectivos </t>
  </si>
  <si>
    <t>Con el convenio del IPES se benefician los alumnos de 32 colegios;  con el del IDRD, 10.000 infantes y adolescentes; con la Secretaría de Educación los alumnos de 192 colegios,; con el de la Secretaría de Gobierno y la OIM 40 organizacinoes juveniles.</t>
  </si>
  <si>
    <t>6 - 13 años: Infancia: 7.052 niños y 6.880 niñas.
14 - 17 años: Adolescencia: 4.161  hombres y 4.201 mujeres.</t>
  </si>
  <si>
    <t>Beneficiar 11.000 desmovilizados y miembros de sus familias con acciones complementarias para la reintegración a la vida civil</t>
  </si>
  <si>
    <t>PROYECTADO A 31 DE DICIEMBRE DE 2010</t>
  </si>
  <si>
    <t>Donaciones</t>
  </si>
  <si>
    <t>ENTIDAD: Instituto Distrital de las Artes - IDARTES</t>
  </si>
  <si>
    <t>6 a 13 años</t>
  </si>
  <si>
    <t>14 a 18 años</t>
  </si>
  <si>
    <t>595               Atención al proceso de desmovilización y reintegración en Bogotá</t>
  </si>
  <si>
    <t>Entidad: Secretaría Distrital de Integración Social</t>
  </si>
  <si>
    <t>Familias positivas</t>
  </si>
  <si>
    <t>Realizar el 100% de seguimiento a los casos denunciados por maltrato infantil, delitos sexuales contra niños, niñas y adolescentes remitidos  por las comisarías de familia a las entidades competentes del sistema judicial ( Fiscalía general de la Nación) p</t>
  </si>
  <si>
    <t>Familias Positivas</t>
  </si>
  <si>
    <t>Mujeres
Hasta 19 años: 6.149
Entre 20 y 59 años=13.494
El indice de rotación es de 2,27</t>
  </si>
  <si>
    <t xml:space="preserve">Beneficiarios Comedores Comunitarios
0-17 años: 25,524 (H),  25,241 (M)
Beneficiarios Canasta 
0 - 17 años: 6,084 (H),  6,945(M)
</t>
  </si>
  <si>
    <t xml:space="preserve">
34.550  niños y niñas en jardines Infantiles, con servicios de vigilancia, aseo y preparación de alimentos. 
361 niños niñas por nuevos cupos de educación inicial por obras de remodelación y actualización sismoresistente</t>
  </si>
  <si>
    <t>0-5      M 568  H569
6-13    M 1.141   H 1.106
14-17   M 1.174     H 588</t>
  </si>
  <si>
    <t>51612 padres, madres y ciudadores formados</t>
  </si>
  <si>
    <t xml:space="preserve">830 maestras </t>
  </si>
  <si>
    <t>14-17: Femenino:41.680
14-17: Masculino: 10.824
total: 52.504</t>
  </si>
  <si>
    <t>14-17: Femenino:87.737
14-17: Masculino: 20.432
total: 108.169</t>
  </si>
  <si>
    <t>14-17: Femenino:21.722
14-17: Masculino: 6.291
total: 28.013</t>
  </si>
  <si>
    <t xml:space="preserve">14-17 años: se apoyaron 42 iniciativas juveniles en donde se benefician 10 jóvenes en promedio por cada iniciativa
</t>
  </si>
  <si>
    <t xml:space="preserve">0 a 5 años: 1637 Mujeres y 1313 Hombres
6 a 13 años: 2439 Mujeres y 2398 Hombres
14 a 17 años: 915 Mujeres y 837 Hombres
</t>
  </si>
  <si>
    <t>8 a 13 años: 397 Mujeres y 842 Hombres
14 a 17 años: 502 Mujeres y  3491 Hombres</t>
  </si>
  <si>
    <t>8 a 13 años: 397 Mujeres y 842 Hombres</t>
  </si>
  <si>
    <t>14 a 17 años: 502 Mujeres y  3491 Hombres</t>
  </si>
  <si>
    <t>Organización armónica administrativa</t>
  </si>
  <si>
    <t xml:space="preserve">Adelantar el 100% del proceso de desarrollo y fortalecimiento de la estructura de los sectores y entidades </t>
  </si>
  <si>
    <t>4006 - Fortalecimiento de la infraestructura física de las unidades educativas y las dependencias</t>
  </si>
  <si>
    <t>7243 - Servicios De Apoyo Operativo y De Seguridad a las Unidades Educativas y Dependencias</t>
  </si>
  <si>
    <t>640 -Modernización y Fortalecimiento de las Tecnologías de Información y Comunicaciones Tic</t>
  </si>
  <si>
    <t>Sector: Salud</t>
  </si>
  <si>
    <t>ENTIDAD: Secretaría Distrital de Salud - Fondo Financiero Distrital de Salud</t>
  </si>
  <si>
    <t>Bogotá Sana</t>
  </si>
  <si>
    <t>624 Salud al colegio</t>
  </si>
  <si>
    <t>SECTOR A  DILIGENCIAR:</t>
  </si>
  <si>
    <t>ENTIDAD: Orquesta Filarmónica de Bogotá</t>
  </si>
  <si>
    <t xml:space="preserve">Alcanzar 3.520.000 participantes en actividades artísticas, culturales y patrimoniales, con criterios de proximidad, </t>
  </si>
  <si>
    <t>513 - Fomento de la Música Sinfónica</t>
  </si>
  <si>
    <t>Fortalecimiento de organizaciones y redes sociales y familiares</t>
  </si>
  <si>
    <t>Participación y redes sociales para escuchar las voces rurales y urbanas para la garantía y restitución de los derechos</t>
  </si>
  <si>
    <t>Crear un consejo distrital y 20 consejos locales de niñas y niños</t>
  </si>
  <si>
    <t xml:space="preserve">0 - 5 : Niños 56 Niñas 80
6 - 14 : Niños 235 Niñas 261
TOTAL : 632
</t>
  </si>
  <si>
    <t>Seguridad Alimentaria y Nutricional</t>
  </si>
  <si>
    <t>Suministrar 146.000 apoyos  alimentarios  diarios a la población en inseguridad alimentaria y nutricional, priorizando en población vulnerable.</t>
  </si>
  <si>
    <t>Institucionalización de la Política Pública de Seguridad Alimentaria y Nutricional.</t>
  </si>
  <si>
    <t>Desarrollo institucional integral</t>
  </si>
  <si>
    <t>Fortalecimiento de la gestión institucional</t>
  </si>
  <si>
    <t>Construir 9 equipamientos para la materialización de las políticas de niñez y familia
Reforzar estructuralmente y actualizar en sismo resistencia 88 equipamientos del sector integración social</t>
  </si>
  <si>
    <t>514 Fortalecimiento de la gestión institucional</t>
  </si>
  <si>
    <t>Modernizar y dotar el 40% del Planetario de Bogotá</t>
  </si>
  <si>
    <t>Alcanzar 135.000 niñas, niños y adolescentes participantes en las diferentes actividades de apropiación y divulgación científica y cultural</t>
  </si>
  <si>
    <t>Alcanzar el 40% en la construcción de los 3 escenarios culturales</t>
  </si>
  <si>
    <t>Alcanzar 10.000 participantes en actividades artísticas, culturales y del patrimonio</t>
  </si>
  <si>
    <t>Otorgar 25 apoyos a organizaciones sociales que fomenten transformaciones culturales en Bogotá</t>
  </si>
  <si>
    <t>Se proyecta que del total programado a atender en la meta plan, 569.338 asistentes sean niños y adolescentes.</t>
  </si>
  <si>
    <t xml:space="preserve">Aumentar  140 el número de escuelas de formaciòn deportiva </t>
  </si>
  <si>
    <t>11400/mes</t>
  </si>
  <si>
    <t>Construir  2 Escenarios de Deporte Extremo</t>
  </si>
  <si>
    <t>252.000 jóvenes (aproximadamente 250.000 jovenes vieron la exposicion de Rock al Parque "15 años de extrema convivencia" y 2.000 en el Festival Golpe tras Golpe, realizado mediante Apoyo concertado); 1.000 Niñas y niños (estimacion de beneficiados con en el convenio IDPC-IDEP)</t>
  </si>
  <si>
    <t>0-5    H 28    M59
6-13     H95       M196
14-17    H38    M93</t>
  </si>
  <si>
    <t xml:space="preserve">0 - 5          M  263   H 259
6 - 13       M330   H312  
14 - 17        M97    H43   
</t>
  </si>
  <si>
    <t xml:space="preserve">0 - 5    M 9   H 7    
6 - 13      M 18   H 11 
14 - 17      M 9    H 12
</t>
  </si>
  <si>
    <t xml:space="preserve">
                                 H         M
0-5 años           7635   7945
 6 - 13 años:       385      213
14 - 17 años:       365      244
18-26 años          116      79</t>
  </si>
  <si>
    <t xml:space="preserve">
                             H          M
0 - 5 años:         10          22     
6 - 13 años:       1858    1838
14 - 17 años:       307     305
18-26 años         3              1</t>
  </si>
  <si>
    <t xml:space="preserve">                              H          M
0 - 5 años         54          48
6 - 13 años      1201       906  
14 - 17 años     240       194
</t>
  </si>
  <si>
    <t>Fuente de información</t>
  </si>
  <si>
    <t>Periodicidad</t>
  </si>
  <si>
    <t>INFORMACIÓN COMPLEMENTARIA</t>
  </si>
  <si>
    <t xml:space="preserve">                                           H            M
6-13 años              1822         1664        
14-17 años:                    134        101</t>
  </si>
  <si>
    <t>Rangos</t>
  </si>
  <si>
    <t>El reporte de la información presupuestal deberá hacerse de la misma manera que se ha venido desarrollando en informes anteriores. Las columnas que componen este aparte son las siguientes:</t>
  </si>
  <si>
    <t>Atención de la infancia y la adolescencia</t>
  </si>
  <si>
    <t>Programa plan de desarrollo</t>
  </si>
  <si>
    <t>Proyecto plan de desarrollo</t>
  </si>
  <si>
    <t>Meta plan de desarrollo</t>
  </si>
  <si>
    <t>Inversión proyectada 
2008-2012 
(millones $)</t>
  </si>
  <si>
    <t>Proyecto de inversión</t>
  </si>
  <si>
    <t>Sector: Educación</t>
  </si>
  <si>
    <t>ENTIDAD: Secretaría de Educación del Distrito</t>
  </si>
  <si>
    <t>Bogotá bien alimentada</t>
  </si>
  <si>
    <t>Alimentación escolar</t>
  </si>
  <si>
    <t xml:space="preserve">685.000 estudiantes de colegios con suministro diario de refrigerio
</t>
  </si>
  <si>
    <r>
      <t xml:space="preserve">Al ejecutar el 100% de la inversión se estima que habrá un total de </t>
    </r>
    <r>
      <rPr>
        <b/>
        <sz val="11"/>
        <rFont val="Trebuchet MS"/>
        <family val="2"/>
      </rPr>
      <t xml:space="preserve">160.000 </t>
    </r>
    <r>
      <rPr>
        <sz val="11"/>
        <rFont val="Trebuchet MS"/>
        <family val="2"/>
      </rPr>
      <t xml:space="preserve">mil niños como </t>
    </r>
    <r>
      <rPr>
        <b/>
        <sz val="11"/>
        <rFont val="Trebuchet MS"/>
        <family val="2"/>
      </rPr>
      <t>potenciales</t>
    </r>
    <r>
      <rPr>
        <sz val="11"/>
        <rFont val="Trebuchet MS"/>
        <family val="2"/>
      </rPr>
      <t xml:space="preserve"> beneficiarios de las inversiones del proyecto</t>
    </r>
  </si>
  <si>
    <t>Recursos Invertidos
(millones $)
2008</t>
  </si>
  <si>
    <t>486-Apropiación de la cultura cientifica para todas y todos</t>
  </si>
  <si>
    <t>Durante el proceso de modernización no se presentan beneficiarios</t>
  </si>
  <si>
    <t>Arte Vivo</t>
  </si>
  <si>
    <t>Alcanzar 3.520.000 participantes en actividades artísticas, culturales y patrimoniales, con criterios de proximidad, diversidad, pertinencia, y calidad para promover la convivencia, la apropiación cultural de la ciudad y el ejercicio del derecho a la cult</t>
  </si>
  <si>
    <t>Bogotá Espacio de Vida</t>
  </si>
  <si>
    <t>Equipamientos culturales, recreativos y deportivos</t>
  </si>
  <si>
    <t>Construir 3 escenarios (uno de escala metropolitana y dos zonales)</t>
  </si>
  <si>
    <t>472-Construcción de escenarios y territorios culturales adecuados y próximos para la diversidad y la convivencia</t>
  </si>
  <si>
    <t xml:space="preserve">Garantizar la atención integral a los niños-as y adolescentes con medida de protección legal y la efectividad del proceso definido para restituir su derecho a la familia. Vincular de forma prioritaria a los servicios de atención integral a aquellas niñas </t>
  </si>
  <si>
    <t>Atender en 70 cupos/año a niños, niñas y adolescentes con discapacidad y medida de protección legal</t>
  </si>
  <si>
    <t>Vincular el 65% de recicladores de oficio en condiciones de pobreza y vulnerabilidad vinculados a proyectos de inclusión social</t>
  </si>
  <si>
    <t>629 - Fortalecimiento de la Gestion Distrital en Salud Publica</t>
  </si>
  <si>
    <t>Recursos Invertidos (millones $) A 31 de Diciembre de 2009</t>
  </si>
  <si>
    <t>PROGRAMACIÓN 2011</t>
  </si>
  <si>
    <t>Metas Programadas 2011</t>
  </si>
  <si>
    <t>Número de Personas beneficiadas
Con recursos 2011</t>
  </si>
  <si>
    <t>628 - Infancia y adolescencia feliz y protegida integralmente</t>
  </si>
  <si>
    <t>7361 Alimentación escolar en los colegios oficiales del Distrito Capital</t>
  </si>
  <si>
    <t>Suministrar 165.00 comidas calientes diarias a estudiantes de colegios distritales</t>
  </si>
  <si>
    <t>Acceso y permanencia a la educación para todas y todos</t>
  </si>
  <si>
    <t>Gratuidad educativa, una ganancia para todos</t>
  </si>
  <si>
    <t>Beneficiar con gratuidad total 1.086.000 estudiantes</t>
  </si>
  <si>
    <t>396 Gratuidad en el sistema educativo oficial del Distrito Capital: Tarifas</t>
  </si>
  <si>
    <t>396 Gratuidad  en el sistema educativo oficial del Distrito Capital: Utiles Escolares</t>
  </si>
  <si>
    <t>Apoyo a estudiantes para ir al colegio</t>
  </si>
  <si>
    <t xml:space="preserve">Ofrecer transporte escolar a 35.000 estudiantes de los colegios distritales.  </t>
  </si>
  <si>
    <t>557 Apoyo a estudiantes de los colegios oficiales de Bogotá</t>
  </si>
  <si>
    <t xml:space="preserve">Otorgar subsidio de transporte condicionado a la asistencia escolar 23.860 estudiantes de los colegios distritales. </t>
  </si>
  <si>
    <t>Otorgar subsidio condicionado a la asistencia escolar a 45.000 estudiantes de los colegios distritales</t>
  </si>
  <si>
    <t xml:space="preserve">Todos y todas en el colegio </t>
  </si>
  <si>
    <t>Atender 183.514 estudiantes en colegios en concesión o en convenio</t>
  </si>
  <si>
    <t>4248 Subsidios a la demanda educativa:
Convenio</t>
  </si>
  <si>
    <t>Hombres: 69.228
Mujeres: 66.513
Ciclo 1 (0-5):  9.009
Ciclo 2 (6-13):  98.947
Ciclo 3 (14-17): 27.785</t>
  </si>
  <si>
    <t>4248 Subsidios a la demanda educativa: Concesion</t>
  </si>
  <si>
    <t>Hombres: 20.047
Mujeres: 19.260
Ciclo 1 (0-5):  2.300
Ciclo 2 (6-13):  28.664
Ciclo 3 (14-17): 8.342</t>
  </si>
  <si>
    <t xml:space="preserve">Educación de calidad  y pertinencia para vivir mejor </t>
  </si>
  <si>
    <t xml:space="preserve">Transformación pedagógica para la calidad de la educación </t>
  </si>
  <si>
    <t>Reorganizar la enseñanza por ciclos y por períodos académicos en 370 colegios</t>
  </si>
  <si>
    <t>La población beneficiara de esta meta se encuentra reportada en la meta Cupos Gratuitos en educación inicial de este mismo proyecto (497, Infancia y Adolescencia Feliz y Protegida Integralmente).  El reporte efectuado aquí es la ampliación de cobertura en</t>
  </si>
  <si>
    <t xml:space="preserve">900.000 niños y niñas compromisarios de sus propios derechos.  </t>
  </si>
  <si>
    <t>Informar y sensibilizar 224.762 niñas y niños en temas relacionados con sus derechos para contribuir a que se hagan compromisarios de los mismos.</t>
  </si>
  <si>
    <t>Atender progresivamente el nivel de educación preescolar a partir de los 3 años de edad.</t>
  </si>
  <si>
    <t>Control Social al alcance de todos</t>
  </si>
  <si>
    <t xml:space="preserve">Asesoría y control de los servicios sociales </t>
  </si>
  <si>
    <t>Diseñar y poner en marcha 1 plan de asesoría y control de los servicios sociales</t>
  </si>
  <si>
    <t xml:space="preserve">Sistema de gestión de Calidad Integral de Servicios Sociales en el Distrito para la Garantía de los Derechos </t>
  </si>
  <si>
    <t>0-5 años   131.274 niños y niñas 
Se toma como base para el calculo la cobertura promedio de los Jardines públicos y Privados (76,5) y se multiplica por la cantidad de instituciones auditadas (1716)</t>
  </si>
  <si>
    <t>Jóvenes visibles y con derechos</t>
  </si>
  <si>
    <t>Formar en promoción de los derechos sexuales y reproductivos a 256.000 jóvenes</t>
  </si>
  <si>
    <t>Difundir entre 1.300.000 niños, niñas y jóvenes información sobre derechos sexuales y reproductivos y prevención en consumo de sustancias psicoactivas</t>
  </si>
  <si>
    <t>Formar alternativas de prevención en consumo de sustancias psicoactivas a 256.000 jóvenes</t>
  </si>
  <si>
    <t>Fomentar el emprendimiento, la producción, la promoción de iniciativas culturales y artísticas de los y las jóvenes</t>
  </si>
  <si>
    <t>Subtotal</t>
  </si>
  <si>
    <t>Entidad: Instituto Distrital para la Protección de la Niñez y la Juventud - Idipron</t>
  </si>
  <si>
    <t>Suministrar 146.000 apoyos alimentarios diarios a la población en inseguridad alimentaria y nutricional, priorizando en población vulnerable</t>
  </si>
  <si>
    <t>198 - Comedores Comunitarios: Primer Paso del Proceso Educativo de los Sectores Más Vulnerables</t>
  </si>
  <si>
    <t>Hombres: 36.612
Mujeres: 33.869
Ciclo 1 (0-5):  41.241
Ciclo 2 (6-13):  29.240
Ciclo 3 (14-17): 0</t>
  </si>
  <si>
    <t>Hombres:6.483
Mujeres: 6.227
Ciclo 1 (0-5):  0
Ciclo 2 (6-13):  254
Ciclo 3 (14-17):  12.456</t>
  </si>
  <si>
    <t>Adolescencia</t>
  </si>
  <si>
    <t>0 a 5 años</t>
  </si>
  <si>
    <t>Alcanzar las coberturas útiles de vacunación (&gt; o = 95%) para todos los biológicos del programa ampliado de inmunizaciones</t>
  </si>
  <si>
    <t>Bogotá sana</t>
  </si>
  <si>
    <t>626 - Instituciones saludables y amigables</t>
  </si>
  <si>
    <t>Fortalecer la línea amiga de las niñas, niños y adolescentes 106 (atención 24 horas)</t>
  </si>
  <si>
    <t>Atender 302.500 familias con derechos vulnerados a través de acceso a la justicia familiar y social, y promoción y restitución de derechos.</t>
  </si>
  <si>
    <t>Derechos Humanos</t>
  </si>
  <si>
    <t>6-17:  1.129.502</t>
  </si>
  <si>
    <t xml:space="preserve">Total Sector </t>
  </si>
  <si>
    <t xml:space="preserve">TOTAL GENERAL </t>
  </si>
  <si>
    <t>Garantizar la continuidad de 1.708.670 afiliados al Régimen Subsidiado.</t>
  </si>
  <si>
    <t>618 - Promoción y afiliación al régimen subsidiado y contributivo</t>
  </si>
  <si>
    <t>Bogotá Viva</t>
  </si>
  <si>
    <t>470- Políticas artísticas, culturales y del patrimonio para una ciudad de derechos</t>
  </si>
  <si>
    <t>Amor por Bogotá</t>
  </si>
  <si>
    <t>Cultura para una ciudadanía activa</t>
  </si>
  <si>
    <t>Otorgar 100 estímulos a organizaciones que busquen generar transformaciones culturales</t>
  </si>
  <si>
    <t>645- Amor por Bogotá: Cultura para una ciudadanía activa, la inclusión y la paz</t>
  </si>
  <si>
    <t>Participación</t>
  </si>
  <si>
    <t>Participación para la cultura, la recreación y el deporte</t>
  </si>
  <si>
    <t>Formular de manera concertada una política pública distrital para los campos de la recreación, la actividad física y parques</t>
  </si>
  <si>
    <t>469- Concertación y formulación de las políticas públicas en Recreación, Deorte, Actividad Física y Parques</t>
  </si>
  <si>
    <t>ENTIDAD: Instituto Distrital de Recreación y Deporte - IDRD</t>
  </si>
  <si>
    <t>Bogotá viva</t>
  </si>
  <si>
    <t>Actívate Bogotá</t>
  </si>
  <si>
    <t>Alcanzar 1.433.000 participantes de grupos poblacionales especificas en eventos recreativos</t>
  </si>
  <si>
    <t>Recreación Vital</t>
  </si>
  <si>
    <t>Deporte con altura</t>
  </si>
  <si>
    <t>Apoyar anualmente 900 deportistas de alto rendimiento</t>
  </si>
  <si>
    <t>Equipamentos culturales, recreativos y deportivos</t>
  </si>
  <si>
    <t>Construcciònde 4 escenarios de deporte extremo</t>
  </si>
  <si>
    <t>Construcciòn, adecuaciòn y mejoramiento de parques y escenarios</t>
  </si>
  <si>
    <t>ENTIDAD: Instituto Distrital de Patrimonio Cultural - Idpc</t>
  </si>
  <si>
    <t>Bogotá Intercultural</t>
  </si>
  <si>
    <t>Aumentar el número de estímulos para el fomento a las prácticas culturales de grupos y comunidades étnicas y campesinas, de mujeres, poblaciones y de sectores rurales y sociales.</t>
  </si>
  <si>
    <t>0506: Divulgación de Patrimonio y Expresiones Culturales</t>
  </si>
  <si>
    <t>-162 (100 adolescencia y 62 infancia)</t>
  </si>
  <si>
    <t>625 - Vigilancia en salud pública</t>
  </si>
  <si>
    <t>De acuerdo con la normatividad los rangos definidos para el seguimiento de la población  infante y adolescente de la ciudad son los siguientes:</t>
  </si>
  <si>
    <t>CLASIFICACIÓN</t>
  </si>
  <si>
    <t>RANGO</t>
  </si>
  <si>
    <t>Primera Infancia</t>
  </si>
  <si>
    <t>Infancia</t>
  </si>
  <si>
    <t>Meta de ciudad:  Aumentar 41% la tasa de cobertura de atención inicial en el distrito.  Garantizar 41.900 cupos gratuitos en educación inicial para niños, niñas en primera infancia.</t>
  </si>
  <si>
    <t>Atender 4.000 niños y niñas en primera infancia en condición de discapacidad en los jardines infantiles del distrito.</t>
  </si>
  <si>
    <t xml:space="preserve">
</t>
  </si>
  <si>
    <t>En la parte superior del formato encontrará el link de los sectores que deben diligenciar el formato, con el fin de agilizar su busqueda, de click sobre el boton y diligecie lo correspondiente a las entidades de su sector.
Los rangos que deben ser actualizados corresponden a los incluidos en los numerales 10 y 11.
Anexo a esta matriz debe incluirse un documento por entidad, que explique las razones sobre el porcentaje de ejecución alcanzado, tanto en los casos en que se ejecutaron mayores recursos como aquellos en los que se invirtio menos presupuesto del programado, así como la argumentación, del por que no se alcanzaron o superaron las metas programadas para el periodo de análisis (varía dependiendo de los resultados obtenidos).</t>
  </si>
  <si>
    <t>289 Promover los derechos humanos, la participación y la convivencia en el sistema educativo oficial</t>
  </si>
  <si>
    <t>Mejoramiento de la infraestructura educativa, Educacion de calidad y pertinencia, Acceso y permanencia a la educacion, Toda la vida integralmente protegidos, Bogota Sana</t>
  </si>
  <si>
    <t>Integral (1)</t>
  </si>
  <si>
    <t>Total Sector</t>
  </si>
  <si>
    <t>Sector: Integración Social</t>
  </si>
  <si>
    <t>Capacitación</t>
  </si>
  <si>
    <t>Capacitación, bienestar y vivienda para el personal de la Policía Metropolitana de Bogotá</t>
  </si>
  <si>
    <t>Prevención de Conflictos Urbanos Las Violencias y el Delito</t>
  </si>
  <si>
    <t>Prevención de conflictos urbanos, las violencias y el delito</t>
  </si>
  <si>
    <t>Sector: Ambiente</t>
  </si>
  <si>
    <t>ENTIDAD: Jardín Botánico José Celestino Mutis</t>
  </si>
  <si>
    <t>Educación de calidad y pertinencia para vivir mejor</t>
  </si>
  <si>
    <t>Educación para conservar y saber usar</t>
  </si>
  <si>
    <t xml:space="preserve">Alcanzar 1.200.000 visitantes al Jardín Botánico José Celestino Mutis y a las aulas ambientales administradas por la Secretaría Distrital de Ambiente </t>
  </si>
  <si>
    <t>Procesos de Educación y Cultura para la conservación y uso sostenible de la biodiversidad del Distrito Capital.</t>
  </si>
  <si>
    <t>Otorgar estímulos enmarcados dentro del Programa Distrital de Apoyos Concertados y Alianzas Estratégicas,  para proyectos de infancia y adolescencia relacionados con patrimonio cultural</t>
  </si>
  <si>
    <t xml:space="preserve">Identificar 20.000 niñas y niños trabajadores, para promover la desvinculación laboral y su inclusión y permanencia en el sistema educativo. [Sensibilización para la prevención del trabajo infantil en espacios distintos a la escuela]  </t>
  </si>
  <si>
    <t xml:space="preserve">Identificar 8.670 jóvenes trabajadores para la generación de condiciones de trabajo protegido </t>
  </si>
  <si>
    <t>620-Atención de Población Vinculada.</t>
  </si>
  <si>
    <t xml:space="preserve">Mantener la cobertura en servicios No POSs para el 15% de la población afiliada al régimen subsidiado. Con énfasis en menores de 18 años. Nota Aclaratoria: Se precisa que la meta complementaria es: Mantener la cobertura en servicios de salud para el 60% de la población pobre no asegurada.
</t>
  </si>
  <si>
    <t xml:space="preserve">Atender gratuitamente al 100% a los menores de 5 años y en condición de discapacidad severa, siempre que estén afiliadas al régimen subsidiado y clasificadas en los niveles I y II de SISBEN </t>
  </si>
  <si>
    <t>Reducir en 20% los embarazos/año en adolescentes entre 15 y 19 años</t>
  </si>
  <si>
    <t>Se contará con las políticas publicas de: infancia, juventud, adulto, persona mayor y población en situación de desplazamiento forzado por la violencia construidas con la participación de la comunidad.</t>
  </si>
  <si>
    <t>Cubrir 734 sedes de colegios, 310 jardines y 8 Universidades o Instituciones de Educación Superior [IES] cubiertos por el Programa Salud al Colegio</t>
  </si>
  <si>
    <t>Aumentar a 18% la población mayor de 13 años que practica alguna actividad física de forma habitual.</t>
  </si>
  <si>
    <t>Reducir a 10% la tasa de bajo peso al nacer.</t>
  </si>
  <si>
    <t>Controlar la prevalencia de infección por VIH en población gestante no asegurada.</t>
  </si>
  <si>
    <t>Aumentar en 10% la denuncia de violencia intrafamiliar y violencia sexual.</t>
  </si>
  <si>
    <t>Contribuir a la Erradicación del trabajo infantil.</t>
  </si>
  <si>
    <t>Reducir la tasa de mortalidad en menores de 1 año a 9.9 por 1.000 nacidos vivos.</t>
  </si>
  <si>
    <t xml:space="preserve">Reducir la tasa de mortalidad materna por debajo de 40 por 100.000 nacidos vivos </t>
  </si>
  <si>
    <t xml:space="preserve">Reducir la tasa de mortalidad perinatal por debajo de 16 por mil nacidos vivos </t>
  </si>
  <si>
    <t>2.600 Adolescentes gestantes en posparto y lactantes,  de las cuales, 420 pertenecen al grupo poblacional de 10 a 14 años, con atención integral y seguimiento, disminuyendo de esta forma las complicaciones asociadas a dichos procesos; regulación de la fecundidad a través de la adopción de un método anticonceptivo y la articulación con servicios de apoyo social [Ultima cifra disponible en el sistema de información de la Entidad, con fecha de corte a diciembre 31 de 2009].</t>
  </si>
  <si>
    <t>112.680 niños y niñas  de un año inmunizados   con el biológico contra Hepatitis A  [Última información preliminar disponible en el Sistema de Información de la Entidad con fecha de corte a 31 de diciembre de 2009].
109.327  niños y niñas menores de un año inmunizados   con el biológico contra Rotavirus  [Última información preliminar disponible en el Sistema de Información de la Entidad con fecha de corte a diciembre de 2009].
709,730
El desarrollo científico en el desarrollo de nuevas vacunas, para el beneficio de niños y niñas, requiere además una evaluación técnico-administrativa, que determine la factibilidad y viabilidad de su implementación en la ciudad.</t>
  </si>
  <si>
    <t xml:space="preserve">100.492 niños y niñas menores de un año inmunizados   con el biológico contra NEUMOCOCO   [Última información disponible en el Sistema de Información de la Entidad con fecha de corte a diciembre de 2009]. </t>
  </si>
  <si>
    <t>La población beneficiada en 2009, a través de los distintos mecanismos de acceso, Chat, línea telefónica, buzón o Internet, fue de 12.612 niños, niñas y adolescentes [Ultima cifra disponible en el sistema de información de la Entidad, con fecha de corte a diciembre 31 de 2009].</t>
  </si>
  <si>
    <t>El proceso de suplementación en su primera fase cubrió a  208.394  niños y niñas de colegios y jardines infantiles y el reporte de suplementación II fase da razón de  suplementación a 219.022 niños y niñas. Es importante precisar que la población beneficiaria  se modifica dado que en el  2008  se toma la población general cubierta por el programa Salud al Colegio y para 2009 se reporta la población específica suplementada con micronutrientes, menor de 12 años. [Ultima cifra disponible en el sistema de información de la Entidad, con fecha de corte a diciembre 31 de 2009]</t>
  </si>
  <si>
    <t xml:space="preserve">605 adolescentes lactantes se beneficiaron de manera directa y 28,800 niños y niñas de Jardines infantiles [Ultima cifra disponible en el sistema de información de la Entidad, con fecha de corte a diciembre 31 de 2009]
</t>
  </si>
  <si>
    <t>605 adolescentes lactantes y 350 usuarios de diferentes instituciones como ICBF, SDIS, IDIPRON y SDS. [Ultima información disponible en el Sistema de Información de la Entidad, con fecha de corte a diciembre 31 de 2009].</t>
  </si>
  <si>
    <t>4.238 niños y niñas trabajadores beneficiadas de manera directa.   16.952 personas beneficiadas de manera indirecta. [Ultima cifra disponible en el sistema de información con fecha de corte a 31 diciembre de 2009]</t>
  </si>
  <si>
    <t>4.926 adultos sensibilizados para la prevención y erradicación del trabajo infantil.[Ultima cifra disponible en el sistema de información con fecha de corte a 31 diciembre de 2009]. 1.778 niños y  niñas trabajadores y su familias han recibido la intervención para la promoción de salud mental y prevención de la vinculación a peores formas de trabajo infantil. 
252 niños y niñas se han identificado en una condición de peor forma de trabajo infantil y se han canalizado a proyectos locales. [Ultima cifra preliminar disponible en el sistema de información con fecha de corte a 31 de diciembre de 2009]</t>
  </si>
  <si>
    <t>0656 - realización de actividades artísticas y culturales</t>
  </si>
  <si>
    <t>ENTIDAD: Secretaría Distrital de Cultura, Recreación y Deporte</t>
  </si>
  <si>
    <t>Bogotá Sociedad de Conocimiento</t>
  </si>
  <si>
    <t>Infraestructura para la ciencia, la tecnologia y la innovación</t>
  </si>
  <si>
    <t>Modernizar, dotar y operar el planetario de Bogotá como escenario para la divulgación de la cultura científica</t>
  </si>
  <si>
    <t>Hombres: 254.584
Mujeres: 239.507
Ciclo 1 (0-5):  24.807
Ciclo 2 (6-13):  366.196
Ciclo 3 (14-17): 158.335</t>
  </si>
  <si>
    <t>Hombres:56.010
Mujeres: 53.816
Ciclo 1 (0-5): 5.008
Ciclo 2 (6-13):  73.902
Ciclo 3 (14-17): 30.919</t>
  </si>
  <si>
    <t xml:space="preserve">Atender a 302.500 familias con derechos vulnerados a través de acceso a la justicia familiar y social, y promoción y restitución de derechos </t>
  </si>
  <si>
    <t>No se reporta población atendida</t>
  </si>
  <si>
    <t>Reducir tasas de violencia intrafamiliar y de violencia sexual ocurridas contra mujeres y niños y desarrollo del programa de restauración de violencia intrafamiliar (PARVIF)</t>
  </si>
  <si>
    <t>Formar 200.000 familias en atención integral a la primera infancia y educación inicial.</t>
  </si>
  <si>
    <t>Formar al 100% de las maestras de los jardines infantiles oficiales en detección, prevención y remisión de casos de violencias.</t>
  </si>
  <si>
    <t xml:space="preserve">Número de Personas beneficiadas 
A 31 de Diciembre de 2009
</t>
  </si>
  <si>
    <t>Vincular 100.000 personas a procesos de formación ambiental en los espacios administrados por el Sector de Ambiente</t>
  </si>
  <si>
    <t>Formar 25.000 estudiantes y docentes de los colegios que se vinculen a los procesos de educación ambiental, en espacios como el Jardín Botánico y escenarios de la Estructura Ecológica Principal de Bogotá.</t>
  </si>
  <si>
    <t>Sector: Organismos de Control</t>
  </si>
  <si>
    <t>ENTIDAD: Personería</t>
  </si>
  <si>
    <t>Control social al alcance de todos y todas</t>
  </si>
  <si>
    <t>Casa ciudadana del control social</t>
  </si>
  <si>
    <t>Generar condiciones para hacer efectivo el control social</t>
  </si>
  <si>
    <t>1.800 (de 14 a 17 años)</t>
  </si>
  <si>
    <t>Atender de manera integral e institucionalizada 1.322 niños y niñas habitantes de calle garantizando el derecho de educación, alimentación y desarrollo personal.
Operar 4 unidades de protección integral de paso, sin habitación, para 570 niños y niñas habi</t>
  </si>
  <si>
    <t xml:space="preserve">547 - Atención integral y educación especial a la niñez en situación de vida en calle, alto riesgo y abandono
</t>
  </si>
  <si>
    <t>Jóvenes visibles, con derechos y responsabilidades</t>
  </si>
  <si>
    <t>Atender de manera integral e institucionalizada 1.980 jóvenes habitantes de calle.
Operar 5 unidades de protección integral de paso, sin habitación, para 2.100 jóvenes habitantes de calle.
Vincular a 6.000 jóvenes integrantes de pandillas a procesos de ed</t>
  </si>
  <si>
    <t>548 - Atención Integral y Educación Especial a Jóvenes en Situación de Vida en Calle, Pandilleros y en Alto Riesgo</t>
  </si>
  <si>
    <t>Bogotá sociedad del conocimiento</t>
  </si>
  <si>
    <t>Formación y promoción del espíritu científico, innovador y del conocimiento y habilidades de la población en salud</t>
  </si>
  <si>
    <t>Construir y actualizar anualmente las líneas de investigación del sector salud</t>
  </si>
  <si>
    <t>7055 - Sistemática investigación del fenómeno Callejero</t>
  </si>
  <si>
    <t>SGP</t>
  </si>
  <si>
    <t>Aportes Distrito</t>
  </si>
  <si>
    <t>FOSYGA</t>
  </si>
  <si>
    <t>Recursos Administrados</t>
  </si>
  <si>
    <t>Número de Personas beneficiadas</t>
  </si>
  <si>
    <t>TOTAL</t>
  </si>
  <si>
    <t>Recursos Proyectados por Fuente de Financiación 
2011</t>
  </si>
  <si>
    <t>4021 Generación de ingresos y oportunidades como herramienta de recuperación para la juventud en alta vulnerabilidad social</t>
  </si>
  <si>
    <t xml:space="preserve">                                 H                          M
6-13                       318                       279
14 - 17                   422                       408</t>
  </si>
  <si>
    <t xml:space="preserve">              H              M
0 - 5 años      28668    26196   </t>
  </si>
  <si>
    <t xml:space="preserve">            H         M
0 - 5    440        254</t>
  </si>
  <si>
    <t xml:space="preserve">6-13 años        181
14-17 años        394
Los 17004 niños y niñas, no es posible caracterizarlos ya que la consulta se hace de manera virtual. </t>
  </si>
  <si>
    <t xml:space="preserve">                           H              M
0 - 5 años     28,632    26,160
</t>
  </si>
  <si>
    <t>1.261 adolescentes entre 15 y 18 años  5.044 personas beneficiadas de manera indirecta. [Ultima cifra disponible en el sistema de información con fecha de corte a 31 de diciembre de 2009]</t>
  </si>
  <si>
    <t xml:space="preserve">
352.667 niños, niñas y adolescentes gestantes pobres no asegurados, atendidos en servicios de salud durante el año 2009. De manera específica  se  atendieron 276.505 individuos únicos  pobres no asegurados (vinculados) y 76.162 individuos a través de los servicios no POSs. De 0-5 años se atendieron 133.275 vinculados; de 6 a 13, 81.553 y de 14 a 18, 61.677 vinculados.  Para los servicios no POSs se atendieron 32.611 niños y niñas de 0 a 5 años; 24.576, de 6 a 13 años y 18.975, de 14 a 18 años. [Última información  disponible  en el Sistema de información de la Entidad con  fecha de corte a diciembre 31 de 2009].</t>
  </si>
  <si>
    <t>En total se atendieron 70.597 menores de 18 años de los cuales 67.793 son   niños y niñas entre 1 y 5 años y 3.064  niños y niñas de 6 a 18 años en situación de discapacidad quienes  recibieron atenciones en salud de manera gratuita  [Ultima cifra disponible en el sistema de información de la Entidad, con fecha de corte a diciembre 31 de 2009, correspondiente a la red adscrita y red complementaria, quedando pendiente información de Empresas Promotoras de Salud Subsidiadas EPS-, la cual se haya en proceso de certificación por parte de la firma interventora].</t>
  </si>
  <si>
    <t xml:space="preserve">Se caracterizaron y atendieron de manera integral  479.528 familias, conformadas por 1554.671 personas. De esta población se identificaron un total de 539.751 niños, niñas y adolescentes  entre 0 y 18 años, que corresponden al 34.72% del total de la población caracterizada.  [Ultima cifra  disponible en el sistema de información de la Entidad, con fecha de corte a diciembre  31 de 2009] </t>
  </si>
  <si>
    <t>Hombres: 357.520
Mujeres: 343.500
Ciclo 1 (0-5):  42.883
Ciclo 2 (6-13): 544.505
Ciclo 3 (14-17): 113.632</t>
  </si>
  <si>
    <t>Hombres:18.828
Mujeres: 18.088
Ciclo 1 (0-5):  1.922
Ciclo 2 (6-13):  24.936
Ciclo 3 (14-17):  10.055</t>
  </si>
  <si>
    <t>Hombres:5.736
Mujeres: 5.511
Ciclo 1 (0-5):  0
Ciclo 2 (6-13):  198
Ciclo 3 (14-17):  11.049</t>
  </si>
  <si>
    <t>6 - 13 años: Infancia: 25.748 niñas y 25.202 niños.
14 - 17 años: Adolescencia: 14.369 mujeres y 13.327 hombres.
Total personas atendidas: 78.646 discriminadas así: 40.117 mujeres y 38.529 hombres.</t>
  </si>
  <si>
    <t>204,754 niños, niñas y jóvenes beneficiados y 745 actividades.</t>
  </si>
  <si>
    <t>509 - Fomento de las Prácticas Artísticas</t>
  </si>
  <si>
    <t>ENTIDAD: Fundación Gilberto Alzate Avendaño</t>
  </si>
  <si>
    <t>0478 - Desarrollo y promoción de practicas artísticas y culturales en el DC</t>
  </si>
  <si>
    <t>Sector: Hábitat</t>
  </si>
  <si>
    <t>ENTIDAD: Unidad Administrativa Especial de Servicios Públicos - UAESP</t>
  </si>
  <si>
    <t>Transformación urbana positiva</t>
  </si>
  <si>
    <t>Sistemas generales de servicios públicos</t>
  </si>
  <si>
    <t>584 Gestión integral de residuos sólidos para el Distrito Capital y la Región</t>
  </si>
  <si>
    <t>Sector: Gobierno</t>
  </si>
  <si>
    <t>ENTIDAD: Secretaría Distrital de Gobierno</t>
  </si>
  <si>
    <t>CONSTRUCCIÓN DE PAZ Y RECONCILIACIÓN</t>
  </si>
  <si>
    <t xml:space="preserve">ATENCIÓN INTEGRAL A LA POBLACIÓN DESPLAZADA </t>
  </si>
  <si>
    <t>Ofrecer atención complementaria y orientación integral a 8.000 familias adicionales de población desplazada por año.</t>
  </si>
  <si>
    <t>295              Atención integral a la población desplazada</t>
  </si>
  <si>
    <t>BOGOTA SEGURA Y HUMANA</t>
  </si>
  <si>
    <t xml:space="preserve">SISTEMA DISTRITAL DE JUSTICIA </t>
  </si>
  <si>
    <t>ENTIDAD: Secretaría Distrital de Hábitat</t>
  </si>
  <si>
    <t>ENTIDAD: Caja de Vivienda Popular</t>
  </si>
  <si>
    <t>ENTIDAD: Empresa de Acueducto y Alcantarillado de Bogotá</t>
  </si>
  <si>
    <t>Sector: Movilidad</t>
  </si>
  <si>
    <t>ENTIDAD: Secretaría Distrital de Ambiente</t>
  </si>
  <si>
    <t xml:space="preserve">Garantizar 120 cupos en programas de servicio social gratuito para la ejecución de medidas de la pena, para los adolescentes infractores;  </t>
  </si>
  <si>
    <t>355  Fortalecimiento a la justicia formal en Bogotá D.C.</t>
  </si>
  <si>
    <t>Atender 1500 casos al año mediante la asesoria y la representación jurídica especializada desde un enfoque de derechos con perspectiva de géneros que permita garantizar, reconocer y  restituir los derechos de las mujeres, niñas y adolescentes.</t>
  </si>
  <si>
    <t xml:space="preserve">Garantizar 500 cupos para el cumplimiento de sancio-nes en medio cerrado para adolescentes infractores  ;  </t>
  </si>
  <si>
    <t>TODA LA VIDA INTEGRALMENTE PROTEGIDOS</t>
  </si>
  <si>
    <t>JÓVENES VISIBLES CON DERECHOS Y RESPONSABILIDADES</t>
  </si>
  <si>
    <t>Vincular a 15.000 jóvenes en situación de vulnerabilidad en actividades por la vida, la libertad y la seguridad</t>
  </si>
  <si>
    <t>593            Atención a jóvenes en situación de vulnerabilidad vinculados en actividades por la vida, la libertad y la seguridad</t>
  </si>
  <si>
    <t>ATENCIÓN AL PROCESO DE DESMOVILIZACIÓN Y REINTEGRACIÓN</t>
  </si>
  <si>
    <t>295.845 niños, niñas y adolescentes beneficiados</t>
  </si>
  <si>
    <t>19,500 (Desfile Metropolitano de Comparsas Infantiles: 12,000 entre participantes y espectadores; en las Fiestas de Niñas y Niños 7,000; y en los Recorridos aproximadamente 500 niñas y niños)</t>
  </si>
  <si>
    <t>262,642 niños, niñas y jóvenes beneficiados y 785 actividades.  Adicionalmente, la Orquesta realizar con los profesores de los colegios distritales talleres didácticos,  los cuales nos reportan 42.760 niños y niñas beneficiarios indirectos del programa.</t>
  </si>
  <si>
    <t>552 Transformación pedagógica para la calidad de la educación del sistema educativo oficial</t>
  </si>
  <si>
    <t>Hombres: 474.959
Mujeres: 467.405
Ciclo 1 (0-5):  42.556
Ciclo 2 (6-13):  628.192
Ciclo 3 (14-17): 271.616</t>
  </si>
  <si>
    <t>Toda la vida integralmente protegidos</t>
  </si>
  <si>
    <t>Inclusion Social de la Diversidad y Atencion a Poblacion Vulnerable en la Escuela</t>
  </si>
  <si>
    <t>Beneficiar anualmente 60.000 estudiantes en situación de vulnerabilidad con acciones educativas que aseguren su inclusion social en el colegio</t>
  </si>
  <si>
    <t>260 Inclusión social de la diversidad y atención a población vulnerable en la escuela</t>
  </si>
  <si>
    <t>Hombres: 7.203
Mujeres: 6.921
Ciclo 1 (0-5):  563
Ciclo 2 (6-13):  9.365
Ciclo 3 (14-17): 4.195</t>
  </si>
  <si>
    <t>Construcción de paz y reconciliación</t>
  </si>
  <si>
    <t>Derechos humanos, convivencia, democracia, participación, interculturalidad y equidad de género en el colegio.</t>
  </si>
  <si>
    <t>Implementar en 370 colegios distritales y con el apoyo de sus respectivas comunidades educativas, un programa permanente de sensibilización para promover y garantizar los derechos humanos, la convivencia, la democracia, la participación, la interculturali</t>
  </si>
  <si>
    <t xml:space="preserve">Se proyecta formar en prevención del consumo de sustancias psicoactivas a 25.000 adolescentes; jóvenes de 14-17 años </t>
  </si>
  <si>
    <t>Como producto de las intervenciones en 144 puntos de atención de instituciones prestadoras de servicios de salud [IPS] públicas distritales, las cuales fueron asesoradas en salud sexual y reproductiva a través del ámbito, se beneficiaron de las acciones los usuarios y usuarias atendidas, equivalentes a 69.955 niños y niñas entre los 10 y 14 años [cifras preliminares de población atendida con base en los registros individuales de prestadores de servicios de salud [RIPS], con fecha de corte a 31 de diciembre de 2009]. De manera directa se beneficiaron 4.739  gestantes menores de 18 años atendidas en las 144 instituciones prestadoras de servicios de salud, de la red adscrita, de las cuales 80 están entre los 10 y 14 años [cifras preliminares de población atendida con base en los registros individuales de prestadores de servicios de salud [RIPS], con fecha de corte a 31 de diciembre de 2009]. De manera indirecta, a través de los planes de acción de las 14  mesas locales de sexualidad y género se beneficiaron 126.640  usuarios, de los cuales,  69.955 están entre los 10 y 14 años y  56.685 entre los 15 y 19 años. Como producto de las acciones de promoción y prevención en los ámbitos de vida cotidiana, se beneficiaron de manera indirecta, 310.889 niñas y adolescentes en edad fértil, entre los 10 y 14 años  [Fuente: Departamento Administrativo Nacional de Estadística, Proyecciones de Población de Bogotá Anualizadas 2006-2020]. Como producto de la atención en los 144 puntos de atención de la red adscrita benefician de manera directa 61.560 niñas adolescentes de 10 a 14 años  atendidos a través de la red pública distrital adscrita [cifras preliminares de población atendida con base en los registros individuales de prestadores de servicios de salud [RIPS], con fecha de corte a 31 de diciembre de 2009]. De manera indirecta, a través de los planes de acción de las 14  mesas locales de sexualidad y género se beneficiaron 126.640  usuarios, de los cuales,  69.955 están entre los 10 y 14 años y  56.685 entre los 15 y 19 años. Como producto de las acciones de promoción y prevención en los ámbitos de vida cotidiana, se beneficiaron de manera indirecta, 310.889 niñas y adolescentes en edad fértil, entre los 10 y 14 años  [Fuente: Departamento Administrativo Nacional de Estadística, Proyecciones de Población de Bogotá Anualizadas 2006-2020].</t>
  </si>
  <si>
    <t>La población  con cobertura directa e indirecta del Programa Salud al Colegio es de 500.000 niños, niñas y adolescentes. 1.730 gestantes adolescentes, en posparto y lactantes.[Ultima cifra disponible en el sistema de información de la Entidad, con fecha de corte a diciembre 31 de 2009]</t>
  </si>
  <si>
    <t>Como producto de la atención en los 144 puntos de atención de la red adscrita benefician de manera directa 49.883 niños y  niñas adolescentes de 15 a 19 años  atendidos a través de la red pública distrital adscrita [cifras preliminares de población atendida con base en los registros individuales de prestadores de servicios de salud [RIPS], con fecha de corte a 31 de diciembre de 2009]. De manera indirecta, a través de los planes de acción de las 14  mesas locales de sexualidad y género se beneficiaron 126.640  usuarios, de los cuales,  69.955 están entre los 10 y 14 años y  56.685 entre los 15 y 19 años. Como producto de las acciones de promoción y prevención en los ámbitos de vida cotidiana, se beneficiaron de manera indirecta, 310.889 niñas y adolescentes en edad fértil, entre los 10 y 14 años  [Fuente: Departamento Administrativo Nacional de Estadística, Proyecciones de Población de Bogotá Anualizadas 2006-2020]. De manera directa se beneficiaron 4.739  gestantes menores de 18 años atendidas en las 144 instituciones prestadoras de servicios de salud, de la red adscrita, de las cuales 4.659 están entre los 15 y 19 años [cifras preliminares de población atendida con base en los registros individuales de prestadores de servicios de salud [RIPS], con fecha de corte a 31 de diciembre de 2009]. De manera indirecta, a través de los planes de acción de las 14  mesas locales de sexualidad y género se beneficiaron 126.640  usuarios, de los cuales,  69.955 están entre los 10 y 14 años y  56.685 entre los 15 y 19 años.. Como producto de las acciones de promoción y prevención en los ámbitos de vida cotidiana, se beneficiaron de manera indirecta, 310.889 niñas y adolescentes en edad fértil, entre los 10 y 14 años  [Fuente: Departamento Administrativo Nacional de Estadística, Proyecciones de Población de Bogotá Anualizadas 2006-2020].</t>
  </si>
  <si>
    <t>311.724 adolescentes de 15 a 19 2.348.048
Las políticas deben ser incluyentes, orientadas a garantizar los derechos, en especial de niños y niñas, por lo que se requiere una construcción participativa, una implementación activa con aquellos implicados y aquellas implicadas.</t>
  </si>
  <si>
    <t>115.265 niños y niñas menores de un año de edad fueron beneficiados con tercera dosis de polio, alcanzando el 96,7% de cobertura en este grupo de edad  y 117.039 niños y niñas de un año de edad fueron beneficiados con la dosis de Triple Viral alcanzando el 98,7% de cobertura para este biológico.  [Ultima información preliminar disponible en el Sistema de Información de la Entidad con fecha de corte a diciembre de 2009]. Horarios extendidos: 6.526  niños y niñas menores de un año con terceras dosis de polio  con un aporte al cumplimiento de metas de ese grupo de edad 5.47%, y 6.427  niños y niñas de un año de edad con triple viral con un aporte de 5,42% al cumplimiento de metas . Estrategia extramural: 9.243 niños y niñas menores de un año con terceras dosis de polio con un aporte del 7.8% y 14.310  niños y niñas de un año de edad con triple viral 12,5%. [Ultima información preliminar disponible en el Sistema de Información de la Entidad con fecha de corte a diciembre de 2009]. 196.544  niños y niñas menores de cinco años de edad. Se precisa que la cobertura se calcula para menores de 1 año y 1 año de edad con los biológicos trazadores y para los niños de 2-3-4 y 5 años se vacunan los susceptibles (niños y niñas que no completaron el esquema cuando eran menores de 1 año). 345 auxiliares de enfermería en proceso de certificación en la norma.  [Ultima información preliminar disponible en el Sistema de Información de la Entidad con fecha de corte a diciembre de 2009]. 115.159  niños y niñas menores de un año y 116.915   niños y niñas de un año de edad.   [Ultima información preliminar disponible en el Sistema de Información de la Entidad con fecha de corte a 31 de diciembre de 2009].</t>
  </si>
  <si>
    <t>1) 28.800 niños y niñas de jardines infantiles. 2) La población estimada con cobertura directa e indirecta de las intervenciones del Programa Salud al Colegio es de 500.000 niños, niñas y adolescentes en el año 2009. 3) La población estimada como beneficiaria de las acciones de Ia intervención en IES durante esta vigencia es de 200 jóvenes estudiantes de manera directa; y 38.000 de manera indirecta. Se avanzó en la identificación y priorización de  los procesos que serán fortalecidos a través de capacitaciones en metodologías de promoción de la salud con poblaciones escolarizadas y fortalecimiento de habilidades para la vida a través de acciones colectivas, proyectados para 2010. No obstante, la capacitación no se llevó a cabo en 2009, las intervenciones integrales a la población escolar,  través de la estrategia de Salud al Colegio, se llevaron a cabo en 470 sedes de colegios, 160 jardines y 8 instituciones de educación superior [IES]. De igual forma se adelantaron acciones no integral en 50 instituciones educativas. Desde el equipo de Salud al Colegio, se definieron lineamientos para una estrategia participativa de comunicación a desarrollar dentro de la intervención de inclusión escolar de niños, niñas y adolescentes en situación de desplazamiento en el ámbito escolar. Si bien la actividad no se realizó y no hay población beneficiaria a través de la misma,  con relación a la meta programada para la vigencia, a través de la estrategia Salud al Colegio   se  cubrieron    500. 000 niños niñas y adolescentes. La población  con cobertura directa e indirecta del Programa Salud al Colegio es de 500.000 niños, niñas y adolescentes. La población beneficiaria de la acción especifica 3.531 Docentes, 74 Operarios Tiendas Escolares,  13.561 niños y niñas,12561 Padres de familia  y  88.467 entrega de notas informativas.[Ultima información disponible en el Sistema de Información de la Entidad con fecha de corte a 31 de diciembre de 2009]. 3) La población beneficiaria de las acciones de Ia intervención en IES durante esta vigencia es de 200 jóvenes estudiantes de manera directa; y 38.000 de manera indirecta.</t>
  </si>
  <si>
    <t>7.760 niños, niñas y jóvenes como beneficiarios directos de la intervención, formados como promotores de salud mental y de la línea 106.   Promoción de la utilización de la línea 106 en el ámbito escolar en 440 sedes abordadas por el Programa (500000 beneficiarios indirectos aproximadamente)  visibilizándola como estrategia de salud mental y red de apoyo a partir de las voces e iniciativas de niños, niñas y jóvenes, con base en temas generadores en salud mental (conducta suicida, violencias, consumo de sustancias psicoactivas, crianza positiva, entre otros priorizados por cada grupo promotor) y en procesos de participación y movilización social.[Ultima cifradisponible en el sistema de Información de la entidad con corte a diciembre 31 de 2009]</t>
  </si>
  <si>
    <t>111.073  niñas-os de colegios. 15.974 niños- as de jardines infantiles. [Ultima información  disponible en el sistema de información de la Entidad, con fecha de corte a 31 de diciembre].</t>
  </si>
  <si>
    <t>3.412  niños, niñas y adolescentes institucionalizados en 50 instituciones de protección bajo la rectoría del ICBF. [Ultima cifra disponible en el sistema de información de la Entidad, con fecha de corte a diciembre  31 de 2009]</t>
  </si>
  <si>
    <t xml:space="preserve">En desarrollo de las estrategias lúdicas pedagógicas [Acompañamientos en aula para promover el aprendizaje a través de la actividad física y el juego  en las diferentes áreas del conocimiento], se beneficiaron 1.241 Docentes  de 281 Sedes,  24.232  Estudiantes de primaria y 6.154  Estudiantes de secundaria. En encuentros  de saberes con docentes y estudiantes líderes  para trabajar elementos conceptuales y   metodológicos  que motiven y desarrollen las habilidades y competencias básicas para impulsar y promover la  práctica  de la Actividad Física en la Escuela,  se beneficiaron 1.163 Docentes de 168 Sedes, 1.609 Estudiantes de primaria y  641 Estudiantes de bachillerato. En las jornadas de actividad física colectivas [Aeróbicos, juegos tradicionales, artística, pausas activas, biodanza, festivales de la salud],  se benficiaron 1.503 docentes de 137 Sedes, 9.101 estudiantes de primaria y 17.824 Estudiantes de bachillerato.
Escuela de padres para promover la actividad Física y buscar el soporte familiar: Participan 549 padres de familia.
Estrategias comunicativas. Incluyen uso de un medios orales, visuales , audiovisuales y escritos  que nos permite promocionar, posicionar y fortalecer en la comunidad Educativa la promoción de  la Actividad Física y el uso adecuado del tiempo libre de acuerdo a la oferta institucional y  de las organizaciones de las Localidades.
Participan: 1.936 Docentes, 1.559  Estudiantes de Primaria, 21.943 Estudiantes de Bachillerato
Jornadas con docentes orientadas a  sensibilizar, involucrar   y comprometer al docente en las acciones que se desarrollan con el programa de actividad física, enfatizando que es transversal a todas las áreas de conocimiento y satisfactoria  de múltiples necesidades. Se hace mediante  la biodanza, ejercicios de relajación, higiene postural etc. Participan 864 Docentes.
NOTA:  La  fuente de la información  arriba relacionada es la suministrada por los referentes de las ESE con corte  a septiembre porque el último trimestre será reportado los 10  primeros días del mes de enero del 2010. La información por Localidades, según grupos etáreos solamente fue entregada por las ESE de Usme, Suba, Fontibon, Sur, Hospital Centro Oriente. Debido al cambio en el rango de edad entre la matriz de noviembre a diciembre se hacen ajustes aproximados de los datos dados con corte a septiembre otor a Octubre. Se espera en los primeros días de Enero que llegan los informes del último trimestre aportar la información más completa. 
</t>
  </si>
  <si>
    <t>Cubrir 470 sedes de colegios -160 jardines - 8 IES</t>
  </si>
  <si>
    <t>Incrementar en un 6.3% la cobertura del Programa de Salud Oral (flúor, sellantes, control de placa y detartraje) en la población afiliada a los regímenes subsidiado y contributivo.</t>
  </si>
  <si>
    <t>Cubrir 58 instituciones para la atención de menores en protección con la estrategia de gestión y acción en salud pública</t>
  </si>
  <si>
    <t>Aumentar a 60% la población mayor de 13 años que practica alguna actividad física de forma habitual.</t>
  </si>
  <si>
    <t>Implementar en el 81% de las Empresas Sociales del Estado adscritas a la SDS las estrategias de atención materno infantil AIEPI, IAMI y IAFI infantil AIEPI, IAMI y IAFI.</t>
  </si>
  <si>
    <t>Reducir a 11.4% la tasa de bajo peso al nacer NOTa Aclaratoria: la programación dela reducción de bajo peso al nacer para los cuatro años es paulatina. El valor programado para 2010 es de 11.4%.</t>
  </si>
  <si>
    <t>Monitorear la reducción de desnutrición global en el 100% de los niños y niñas  menores de 5 años.</t>
  </si>
  <si>
    <t>Diseñar e implementar 1 modelo de prevención de accidentes, en los espacios donde transcurre la cotidianidad de niñas,niños y adolescentes,  en las 20 localidades.</t>
  </si>
  <si>
    <t xml:space="preserve">Formar 20.000 niños - as o adolescentes en acciones educativas, legales y de control para la restitución de los derechos. </t>
  </si>
  <si>
    <t>Formar a 6.500 niños, niñas y adolescentes en desarorollo humano, proyectos de vida y derechos sexuales y reproductivos para contribuir  a la prevención del abuso sexual infantil</t>
  </si>
  <si>
    <t xml:space="preserve">Lograr 1.450 cupos de atención para niños, niñas y adolescentes en condicion de discapacidad en los centros crecer </t>
  </si>
  <si>
    <t xml:space="preserve">Atender Integralmente 6.070 niños, niñas y adolescentes en situación de vulneración de derechos.  </t>
  </si>
  <si>
    <t xml:space="preserve">Sostenimiento de 12.000 cupos </t>
  </si>
  <si>
    <t xml:space="preserve">Controlar la prevalencia de infección por VIH en población gestante no asegurada a través de la Asesoría y asitencia técnica al 100% de las Instituciones prestadoras de servicio. </t>
  </si>
  <si>
    <t>Aumentar en 2% la denuncia de violencia intrafamiliar y violencia sexual.</t>
  </si>
  <si>
    <t>Disminuir en un 3.28% de la tasa de trabajo infantil.</t>
  </si>
  <si>
    <t>Reducir la tasa de mortalidad en menores de 1 año a 11.1  por 1.000 nacidos vivos.</t>
  </si>
  <si>
    <t>A junio de 2010 afiliar a 250.000 nuevos ciudadanos al Régimen Subsidiado.</t>
  </si>
  <si>
    <t>Garantizar la continuidad de 1.608.495 afiliados al Régimen Subsidiado.</t>
  </si>
  <si>
    <t xml:space="preserve"> Reducir la tasa de mortalidad materna por debajo de 37  por 100.000 nacidos vivos </t>
  </si>
  <si>
    <t xml:space="preserve">Reducir la tasa de mortalidad perinatal por debajo de 18 por mil nacidos vivos </t>
  </si>
  <si>
    <t>28.800 niños y niñas de jardines infantiles. 1.074 docentes. 7.274 madres, padres y acudientes [Ultima cifra disponible en la Entidad con corte a diciembre 31 de 2009].</t>
  </si>
  <si>
    <t>A través de la capacitación en el componente clínico, se beneficiaron 377 médicos, 317 enfermeras,  94 nutricionistas, 531 auxiliares de enfermería y 671  de otras profesiones . A través  de la capacitación se logra que la totalidad de los profesionales implementen las estrategias de Atención Integral de Enfermedades Prevalentes de la Infancia [AIEPI] y la de Instituciones Amigas de la Mujer y de la Infancias [IAMI] en cada una de las instituciones, en las cuales se beneficiaron de manera directa 149.865 niños y niñas menores de cinco años atendidos en 2009 [Ultima cifra disponible en el sistema de información de la Entidad, con fecha de corte a diciembre 31 de 2009]. Se cubrieron el 100% de los puntos de atención de la red adscrita del primer nivel de atención. En total se reportan  242 médicos y 191 enfermeras que aplican la estrategia y 119 IPS intervenidas. Como producto de las atenciones realizadas en la red pública distrital adscrita en 2009, se beneficiaron de manera directa 149.865 niños y niñas menores de cinco años atendidos en 2009 [Ultima cifra disponible en el sistema de información de la Entidad, con fecha de corte a diciembre 31 de 2009]. Se cubrieron el 100% de las ESE de primer nivel con todos sus puntos de atención.  Se beneficiaron 149.865 niños y niñas menores de cinco años atendidos en 2009 [Ultima cifra disponible en el sistema de información de la Entidad, con fecha de corte a diciembre 31 de 2009].</t>
  </si>
  <si>
    <t>De manera indirecta se beneficiaron 119.208 menores de un año de Bogotá D.C.  De manera directa se beneficiaron 230.000 personas, entre niños, niñas, recién nacidos, familias gestantes y cuidadores.[Última cifra  disponible en el Sistema de información de la entidad, con corte a 31 de diciembre de 2009].</t>
  </si>
  <si>
    <t>Se capacitaron 687 Hogares  FAMIS [Familia mujer e infancia],  1,134 Hogares Comunitarios HOBIS, 157 jardines de ICBF, 237 jardines de SDIS; a 3.206 gestantes, 3.750 lactantes, 19.369 menores de cinco años y 7.529 familias visitadas [Última cifra disponible en el Sistema de información de la entidad, con corte a 31 de diciembre de 2009]. En cada una de las localidades que participan de la estrategia se beneficiaron niños y niñas así :30263 en Bosa,  33.709 en  Engativá, 40.920 en Suba  y  35.454 Ciudad Bolívar</t>
  </si>
  <si>
    <t>243.657 niños y niñas menores de 10 años y 94.644 gestantes. Se realizaron 5.559 investigaciones epidemiológicas de campo de las cuales 2.440 corresponden a gestantes con bajo peso y 1.456 a niños y niñas menores de 10 años con desnutrición aguda. Después de hacer ajustes a los sistemas de información se logró determinar como población beneficiaria 462 Profesionales de salud (médicos y enfermeras informados sobre el funcionamiento y resultados del SISVAN). 415 Docentes pertenecientes a los colegios centinela para la vigilancia nutricional. 30 Profesionales en nutrición capacitados en la estrategia AIEPI para su aplicación en las investigaciones epidemiológicas e campo SISVAN.  [Ultima cifra preliminar disponible en el sistema de información de la Entidad, con corte a 30 de diciembre de 2009]. El porcentaje de recuperación nutricional medida por el indicador ganancia de peso es del 86% para las gestantes y 74% para los niños menores de 10 años. Se reportó el ingreso al Sistema de Vigilancia 243.657 registros de niños y niñas menores de 10 años y 94.644 gestantes. 115.853 niños y niñas menores de 18 años que fueron incluidos en el tamizaje nutricional 2009  [Ultimas cifras del sistema de información de la Entidad con corte a 31de diciembre de 2009]</t>
  </si>
  <si>
    <t xml:space="preserve">171.626 mujeres gestantes y lactantes suplementadas con micronutrientes.  [Ultima cifra  disponible en el sistema de información de la Entidad con corte a julio de 2009.]
343.375 niños-as menores de 12 años suplementados en el Distrito.[Ultima cifra preliminar disponible en la entidad con corte a 31 de diciembre]. </t>
  </si>
  <si>
    <t>2.309 vinculados menores de 18 años, quienes se practicaron la prueba del VIH en la red adscrita, se beneficiaron de manera directa [última información disponible en el sistema de información de la entidad con fecha de corte a  diciembre de 2009].  De igual forma, se beneficiaron  17.922 mujeres gestantes menores de 18 años tamizadas. De manera indirecta se beneficiaron 2.409.297 mujeres en edad fértil [Fuente: Departamento Administrativo Nacional de Estadística (DANE). Proyecciones de población de Bogotá anualizada 2006-2020 según sexo y edades simples (o a 24 años y por grupos quinquenales de 25 años en adelante]. 144 IPS asesoradas y asistidas técnicamente en ITS y VIH SIDA, componente de salud sexual y reproductiva que benefician indirectamente a la población total vinculada y subsidiada (3.281.647 usuarios de los cuales 1.462.747 pertenecen a niños, niñas y adolescentes.</t>
  </si>
  <si>
    <t>De manera indirecta se beneficiaron  500.000 niños, niñas y adolescentes.</t>
  </si>
  <si>
    <t>4.238 niños y niñas trabajadores. 1.261 adolescentes trabajadores entre 15 y 18 años. [Ultima cifra preliminar disponible en el sistema de información con fecha de corte a diciembre de 2009]</t>
  </si>
  <si>
    <t>85.021 nuevos niños niñas y adolescentes asegurados en el régimen subsidiado de la seguridad social en salud. [Ultimas cifras disponibles en el sistema de información de la Entidad con corte a diciembre de 2009]</t>
  </si>
  <si>
    <t xml:space="preserve">De 0 a 5 años: 119.196; de 6 a 13 años: 275.756 y  de 14 a 17 años :  183.949.  Total: 578.901 menores de 18 años beneficiados con el régimen subsidiado [Subsidios totales]. Se precisa que esta disminución se debe a depuraciones en la base de datos y a la aplicación por parte del Ministerio de la Protección Social del Acuerdo 408 del Concejo Nacional de Seguridad Social en Salud [CNSSS] y la Resolución 3673 del Ministerio de la Protección Social. El número de afiliados registrados disminuyó con respecto al reporte de septiembre 30 en 25.111 menores de 18 años.  [Ultimas cifras disponibles preliminares  en el sistema de información de la Entidad con corte a diciembre de 2009]. De 0 a 5 años:  1.298; de 6 a 13 años: 4.888; de 14 a 17 años:  4.414; Total: menores de 18 años beneficiados, 10.600  [Subsidios parciales]. Esta disminución se debe a depuraciones en la base de datos del régimen subsidiado y a la aplicación por parte del Ministerio de la Protección Social del Acuerdo 408 del Concejo Nacional de Seguridad Social en Salud [CNSSS] y la Resolución 3673 del Ministerio de la Protección Social. El  número de afiliados registrados disminuyó con respecto al reporte de septiembre30 en 2.206 menores de 18 años. [Ultimas cifras disponibles en el sistema de información de la Entidad con corte a diciembre de 2009]
</t>
  </si>
  <si>
    <t>De manera directa se beneficiaron 4.739 gestantes menores de 18 años atendidas en las 144 instituciones prestadoras de servicios de salud, de la red adscrita [cifras de población atendida con base en los registros individuales de prestadores de servicios de salud [RIPS], con fecha de corte  a diciembre 31 de 2009].  A través de las acciones de promoción de la salud y con la realización de la  Jornada de Salud sexual y Reproductiva se beneficiaron de manera indirecta [Fuente: Departamento Administrativo Nacional de Estadística (DANE). Proyecciones de población de Bogotá anualizada 2006-2020 según sexo y edades simples (0 a 24 años y por grupos quinquenales de 25 años en adelante].</t>
  </si>
  <si>
    <t xml:space="preserve">De manera directa se beneficiaron 4.739  gestantes menores de 18 años atendidas en las 144 instituciones prestadoras de servicios de salud, de la red adscrita [cifras de población atendida disponibles en registros individuales de prestadores de servicios de salud [RIPS], con fecha de corte  a diciembre 31 de 2009]. </t>
  </si>
  <si>
    <t xml:space="preserve">Reducir en 75% los embarazos en adolescentes entre 10 y 14 años </t>
  </si>
  <si>
    <t>95% de cumplimiento para los bilógicos Hepatitis A y Rotavirus.</t>
  </si>
  <si>
    <t xml:space="preserve">Aplicar 20.000 vacunas contra neumococo para recién nacidos de sisben 1 y 2. Nota Aclaratoria: La Secretaría Distrital de Salud de Bogotá D.C. solicitó a la Secretaría Distrital de Planeación, la reprogramación anual del número de dosis, de manera que para 2010 se reprogramaran 356.961 dosis, debido al apoyo del Ministerio de la Protección Social de incluir estas dosis como parte del PAI. Con estas dosis se  cubre con coberturas útiles al 100% de la población de Bogotá objeto de la vacunación. </t>
  </si>
  <si>
    <t>Cubrir 100% de instituciones 160 jardines infantiles y 422 Instituciones educativas que se abordarán con esta estrategia</t>
  </si>
  <si>
    <t>Aumentar la lactancia materna hasta los 4.7 meses de edad (Mandato del plan de desarrollo aprobado por acuerdo - Concejo)</t>
  </si>
  <si>
    <t>Aumentar la lactancia materna hasta los 4.7  meses de edad (Mandato del plan de desarrollo aprobado por acuerdo - Concejo)</t>
  </si>
  <si>
    <t>Identificar 3.912 niños y niñas trabajadores, para promover la desvinculación laboral y su inclusión y permanencia en el sistema educativo</t>
  </si>
  <si>
    <t>Selección y sensibilización de 100  espacios locales distintos a la escuela para el desarrollo de las actividades.</t>
  </si>
  <si>
    <t xml:space="preserve">Identificar 1.700 jóvenes trabajadores para la generación de condiciones de trabajo protegido </t>
  </si>
  <si>
    <t xml:space="preserve">Mantener la cobertura en servicios No POSs para el 15% de la población afiliada al régimen subsidiado. Con énfasis en menores de 18 años. Nota Aclaratoria: Se precisa que la meta complementaria es: Mantener la cobertura en servicios de salud para el 60% de la población pobre no asegurada. </t>
  </si>
  <si>
    <t xml:space="preserve">Atender gratuitamente al 78% a los menores de 5 años y en condición de discapacidad severa, siempre que estén afiliadas al régimen subsidiado y clasificadas en los niveles I y II de SISBEN </t>
  </si>
  <si>
    <t>Cubrir 356 micro territorios con acciones preventivas de salud para el núcleo familiar, con énfasis en niños y niñas</t>
  </si>
  <si>
    <t>Reducir en 75% los embarazos en adolescentes entre 10 y 14 años (abuso sexual)</t>
  </si>
  <si>
    <t>*  Suministrar 50.301 apoyos  alimentarios a la población en inseguridad alimentaria y nutricional.
*   Entregar 52.567  bonos de apoyo alimentario fin de año a niños-as y adolescentes antedidos en Jardines Infantiles y Centros Crecer.</t>
  </si>
  <si>
    <t>*  Atender 890 denuncias de delitos sexuales
* Atender 60.000 demandas por violencia intrafamiliar en Comisarías de Familia</t>
  </si>
  <si>
    <t xml:space="preserve">46.250 Padres madres y cuidadores formados </t>
  </si>
  <si>
    <t xml:space="preserve">* Realizar 2.020 auditorias a prestadores de servicios sociales de Educación Inicial.
* Avance en la construcción del Sistema de Calidad para garantizar la prestación de los servicios sociales </t>
  </si>
  <si>
    <t>Suministrar  Almuerzos diarios a 8.314 niñez, juventud, madres gestantes, lactantes, adultos y las familias en sus diversidades múltiples y en territorios multidimensionales de Bogotá que se encuentran en extrema pobreza y vulnerabilidad.</t>
  </si>
  <si>
    <t>Suministrar a 4.394 Beneficiarios del IDIPRON alimentación.</t>
  </si>
  <si>
    <t>Atender de manera integral 935 jóvenes en situación de vida en calle en  modalidad institucionalizada.
Atender de manera integral  426 Jóvenes en situación de vida en calle en  modalidad de externado.
Integrar a 2.370 Jóvenes pandilleros en procesos de educación formal, no formal y en talleres ocupacionales.</t>
  </si>
  <si>
    <t xml:space="preserve">1. Realizar a 8 equipamientos de primera infancia de la SDIS Reforzamiento estructural y remodelación.
2. Realizar obras de mantenimiento preventivo y correctivo a 161 equipamientos de atención a infancia y adolescencia.
3. Prestar servicios de vigilancia en 226 equipamientos de atención a niños - as 
4. Prestar servicios de Aseo, cafetería y preparación de alimentos en 96 equipamientos de atención a niños - as </t>
  </si>
  <si>
    <t>Desarrollar un lineamiento pedagógico Distrital que orienten el componente de educación inicial para la atención integral en primera infancia según el artículo 29 de la Ley 1098 de 2006.</t>
  </si>
  <si>
    <t>25% de la implementación de la  Politíca Pública de Infancia.</t>
  </si>
  <si>
    <t>Lograr el 95% de coberturas de vacunación para niños menores de un año y un año de edad.</t>
  </si>
  <si>
    <t xml:space="preserve">INFANCIA Y ADOLESCENCIA </t>
  </si>
  <si>
    <t>PROYECCIONES DE POBLACIÓN PARA BOGOTÁ 2011</t>
  </si>
  <si>
    <t>Secretaría Distrital de Planeación</t>
  </si>
  <si>
    <t>Subsecretaría de Información y Estudios Estratégicos</t>
  </si>
  <si>
    <t>Dirección de Información, Cartografía y Estadística</t>
  </si>
  <si>
    <t>Fuente: DANE</t>
  </si>
  <si>
    <t xml:space="preserve">1. </t>
  </si>
  <si>
    <t>EDAD</t>
  </si>
  <si>
    <t>0 años</t>
  </si>
  <si>
    <t>1 año</t>
  </si>
  <si>
    <t>2 años</t>
  </si>
  <si>
    <t>3 años</t>
  </si>
  <si>
    <t>4 años</t>
  </si>
  <si>
    <t>5 años</t>
  </si>
  <si>
    <t>6 años</t>
  </si>
  <si>
    <t>7 años</t>
  </si>
  <si>
    <t>8 años</t>
  </si>
  <si>
    <t>9 años</t>
  </si>
  <si>
    <t>10 años</t>
  </si>
  <si>
    <t>11 años</t>
  </si>
  <si>
    <t>12 años</t>
  </si>
  <si>
    <t>13 años</t>
  </si>
  <si>
    <t>14 años</t>
  </si>
  <si>
    <t>15 años</t>
  </si>
  <si>
    <t>16 años</t>
  </si>
  <si>
    <t>17 años</t>
  </si>
  <si>
    <t>18 años</t>
  </si>
  <si>
    <t>TOTAL NNA 2011</t>
  </si>
  <si>
    <t>INDIVIDUOS</t>
  </si>
  <si>
    <t xml:space="preserve">2. </t>
  </si>
  <si>
    <t>TOTAL HOMBRES</t>
  </si>
  <si>
    <t xml:space="preserve">3. </t>
  </si>
  <si>
    <t>TOTAL MUJERES</t>
  </si>
  <si>
    <t>POBLACIÓN DE LA CIUDAD (0 a 80 y mas)</t>
  </si>
  <si>
    <t>Individuos</t>
  </si>
  <si>
    <t>%</t>
  </si>
  <si>
    <t xml:space="preserve">TOTAL </t>
  </si>
  <si>
    <t>NNA CON RESPECTO AL TOTAL DE POBLACION DE LA CIUDAD</t>
  </si>
  <si>
    <t>Corresponden al</t>
  </si>
  <si>
    <t xml:space="preserve">Del total de la población </t>
  </si>
  <si>
    <t>Del total de hombres</t>
  </si>
  <si>
    <t>Del total de mujeres</t>
  </si>
  <si>
    <t>1 - USAQUÉN</t>
  </si>
  <si>
    <t>2 - CHAPINERO</t>
  </si>
  <si>
    <t>3 - SANTAFE</t>
  </si>
  <si>
    <t>4 - SAN CRISTÓBAL</t>
  </si>
  <si>
    <t>5 - USME</t>
  </si>
  <si>
    <t>6 - TUNJUELITO</t>
  </si>
  <si>
    <t>7 - BOSA</t>
  </si>
  <si>
    <t>8 - KENNEDY</t>
  </si>
  <si>
    <t>9 - FONTIBÓN</t>
  </si>
  <si>
    <t>10 - ENGATIVÁ</t>
  </si>
  <si>
    <t>11 - SUBA</t>
  </si>
  <si>
    <t>12 - BARRIOS UNIDOS</t>
  </si>
  <si>
    <t>13 - TEUSAQUILLO</t>
  </si>
  <si>
    <t>14- LOS MÁRTIRES</t>
  </si>
  <si>
    <t>15 - ANTONIO NARIÑO</t>
  </si>
  <si>
    <t>16 - PUENTE ARANDA</t>
  </si>
  <si>
    <t>17 - LA CANDELARIA</t>
  </si>
  <si>
    <t>18- RAFAEL URIBE URIBE</t>
  </si>
  <si>
    <t>19 - CIUDAD BOLÍVAR</t>
  </si>
  <si>
    <t>20 - SUMAPAZ</t>
  </si>
  <si>
    <r>
      <t xml:space="preserve">POBLACIÓN DE NNA </t>
    </r>
    <r>
      <rPr>
        <b/>
        <sz val="13"/>
        <color indexed="10"/>
        <rFont val="Calibri"/>
        <family val="2"/>
      </rPr>
      <t>TOTAL</t>
    </r>
    <r>
      <rPr>
        <b/>
        <sz val="13"/>
        <color indexed="12"/>
        <rFont val="Calibri"/>
        <family val="2"/>
      </rPr>
      <t xml:space="preserve"> POR EDADES SIMPLES - 2011</t>
    </r>
  </si>
  <si>
    <r>
      <t xml:space="preserve">POBLACIÓN DE </t>
    </r>
    <r>
      <rPr>
        <b/>
        <sz val="13"/>
        <color indexed="10"/>
        <rFont val="Calibri"/>
        <family val="2"/>
      </rPr>
      <t>HOMBRES</t>
    </r>
    <r>
      <rPr>
        <b/>
        <sz val="13"/>
        <color indexed="12"/>
        <rFont val="Calibri"/>
        <family val="2"/>
      </rPr>
      <t xml:space="preserve"> POR EDADES SIMPLES - 2011</t>
    </r>
  </si>
  <si>
    <r>
      <t xml:space="preserve">POBLACIÓN DE </t>
    </r>
    <r>
      <rPr>
        <b/>
        <sz val="13"/>
        <color indexed="10"/>
        <rFont val="Calibri"/>
        <family val="2"/>
      </rPr>
      <t xml:space="preserve">MUJERES </t>
    </r>
    <r>
      <rPr>
        <b/>
        <sz val="13"/>
        <color indexed="12"/>
        <rFont val="Calibri"/>
        <family val="2"/>
      </rPr>
      <t>POR EDADES SIMPLES - 2011</t>
    </r>
  </si>
  <si>
    <r>
      <t xml:space="preserve">TOTAL </t>
    </r>
    <r>
      <rPr>
        <b/>
        <sz val="12"/>
        <color indexed="10"/>
        <rFont val="Calibri"/>
        <family val="2"/>
      </rPr>
      <t>GENERAL</t>
    </r>
  </si>
  <si>
    <r>
      <t xml:space="preserve">TOTAL </t>
    </r>
    <r>
      <rPr>
        <b/>
        <sz val="12"/>
        <color indexed="10"/>
        <rFont val="Calibri"/>
        <family val="2"/>
      </rPr>
      <t>HOMBRES</t>
    </r>
  </si>
  <si>
    <r>
      <t xml:space="preserve">TOTAL </t>
    </r>
    <r>
      <rPr>
        <b/>
        <sz val="12"/>
        <color indexed="10"/>
        <rFont val="Calibri"/>
        <family val="2"/>
      </rPr>
      <t>MUJERES</t>
    </r>
  </si>
  <si>
    <r>
      <t>3.</t>
    </r>
    <r>
      <rPr>
        <b/>
        <sz val="7"/>
        <color indexed="12"/>
        <rFont val="Times New Roman"/>
        <family val="1"/>
      </rPr>
      <t xml:space="preserve">     </t>
    </r>
    <r>
      <rPr>
        <b/>
        <sz val="14"/>
        <color indexed="12"/>
        <rFont val="Calibri"/>
        <family val="2"/>
      </rPr>
      <t>Reporte de la Información Presupuestal</t>
    </r>
  </si>
  <si>
    <t>1. Programa plan de desarrollo
2. Proyecto plan de desarrollo
3. Meta plan de desarrollo
4. Inversión proyectada 2008 - 2012 (millones $)
5. Proyecto de inversión
6. Recursos invertidos 2008
7. Recursos invertidos 2009 (millones $)
8. Número de personas beneficiadas (31 diciembre de2009)
9. Metas programadas 2010
10.Recursos programados (millones de $) 2010
11.Metas programadas 2011
12.Recursos programados (millones de $) 2011
13. Número de personas beneficiadas con recursos 2011</t>
  </si>
  <si>
    <t>Caracterización</t>
  </si>
  <si>
    <t>PROYECCIONES DE POBLACIÓN INFANTE Y ADOLESCENTE PARA BOGOTÁ 2011 - TOTAL AGREGADO POR LOCALIDADES</t>
  </si>
  <si>
    <t>Metas alcanzadas</t>
  </si>
  <si>
    <t>Recursos Invertidos
(millones $)</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</si>
</sst>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numFmt numFmtId="181" formatCode="#,###"/>
    <numFmt numFmtId="182" formatCode="_ * #,##0_ ;_ * \-#,##0_ ;_ * &quot;-&quot;??_ ;_ @_ "/>
    <numFmt numFmtId="183" formatCode="0.0%"/>
    <numFmt numFmtId="184" formatCode="_(&quot;$&quot;* #,##0.00_);_(&quot;$&quot;* \(#,##0.00\);_(&quot;$&quot;* &quot;-&quot;??_);_(@_)"/>
    <numFmt numFmtId="185" formatCode="_(&quot;$&quot;* #,##0_);_(&quot;$&quot;* \(#,##0\);_(&quot;$&quot;* &quot;-&quot;_);_(@_)"/>
    <numFmt numFmtId="186" formatCode="[$$-240A]\ #,##0"/>
    <numFmt numFmtId="187" formatCode="#,##0_ ;[Red]\-#,##0\ "/>
    <numFmt numFmtId="188" formatCode="&quot;$&quot;\ #,##0.00"/>
    <numFmt numFmtId="189" formatCode="&quot;$&quot;\ #,##0"/>
    <numFmt numFmtId="190" formatCode="#,##0.0"/>
    <numFmt numFmtId="191" formatCode="_-* #,##0\ _€_-;\-* #,##0\ _€_-;_-* &quot;-&quot;??\ _€_-;_-@_-"/>
    <numFmt numFmtId="192" formatCode="_-* #,##0.00\ _€_-;\-* #,##0.00\ _€_-;_-* \-??\ _€_-;_-@_-"/>
    <numFmt numFmtId="193" formatCode="_-* #,##0\ _€_-;\-* #,##0\ _€_-;_-* \-??\ _€_-;_-@_-"/>
    <numFmt numFmtId="194" formatCode="_ * #,##0_ ;_ * \-#,##0_ ;_ * \-??_ ;_ @_ "/>
    <numFmt numFmtId="195" formatCode="#,##0.0000"/>
    <numFmt numFmtId="196" formatCode="[$$-240A]\ #,##0.00"/>
    <numFmt numFmtId="197" formatCode="#,##0,"/>
    <numFmt numFmtId="198" formatCode="##,#0#"/>
    <numFmt numFmtId="199" formatCode="[$$-240A]\ #,##0.0"/>
    <numFmt numFmtId="200" formatCode="_-* #,##0_-;\-* #,##0_-;_-* &quot;-&quot;??_-;_-@_-"/>
    <numFmt numFmtId="201" formatCode="0.0000%"/>
    <numFmt numFmtId="202" formatCode="#,##0.000"/>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quot;$&quot;\ #,##0.0;[Red]&quot;$&quot;\ \-#,##0.0"/>
    <numFmt numFmtId="208" formatCode="&quot;$&quot;\ #,##0.0;&quot;$&quot;\ \-#,##0.0"/>
    <numFmt numFmtId="209" formatCode="0.0"/>
    <numFmt numFmtId="210" formatCode="0.000"/>
    <numFmt numFmtId="211" formatCode="#,##0.00000"/>
    <numFmt numFmtId="212" formatCode="0.00000%"/>
    <numFmt numFmtId="213" formatCode="_ &quot;$&quot;\ * #,##0_ ;_ &quot;$&quot;\ * \-#,##0_ ;_ &quot;$&quot;\ * &quot;-&quot;??_ ;_ @_ "/>
    <numFmt numFmtId="214" formatCode="#,##0.."/>
    <numFmt numFmtId="215" formatCode="_(* #,##0_);_(* \(#,##0\);_(* &quot;-&quot;??_);_(@_)"/>
  </numFmts>
  <fonts count="83">
    <font>
      <sz val="11"/>
      <color theme="1"/>
      <name val="Calibri"/>
      <family val="2"/>
    </font>
    <font>
      <sz val="11"/>
      <color indexed="8"/>
      <name val="Calibri"/>
      <family val="2"/>
    </font>
    <font>
      <sz val="12"/>
      <color indexed="8"/>
      <name val="Calibri"/>
      <family val="2"/>
    </font>
    <font>
      <sz val="8"/>
      <name val="Calibri"/>
      <family val="2"/>
    </font>
    <font>
      <b/>
      <sz val="14"/>
      <color indexed="12"/>
      <name val="Calibri"/>
      <family val="2"/>
    </font>
    <font>
      <b/>
      <sz val="13"/>
      <color indexed="12"/>
      <name val="Calibri"/>
      <family val="2"/>
    </font>
    <font>
      <b/>
      <sz val="7"/>
      <color indexed="12"/>
      <name val="Times New Roman"/>
      <family val="1"/>
    </font>
    <font>
      <b/>
      <sz val="12"/>
      <color indexed="12"/>
      <name val="Calibri"/>
      <family val="2"/>
    </font>
    <font>
      <b/>
      <sz val="11"/>
      <color indexed="8"/>
      <name val="Calibri"/>
      <family val="2"/>
    </font>
    <font>
      <b/>
      <sz val="13"/>
      <color indexed="8"/>
      <name val="Calibri"/>
      <family val="2"/>
    </font>
    <font>
      <u val="single"/>
      <sz val="10"/>
      <color indexed="12"/>
      <name val="Arial"/>
      <family val="2"/>
    </font>
    <font>
      <sz val="11"/>
      <color indexed="10"/>
      <name val="Calibri"/>
      <family val="2"/>
    </font>
    <font>
      <sz val="10"/>
      <name val="Arial"/>
      <family val="0"/>
    </font>
    <font>
      <u val="single"/>
      <sz val="10"/>
      <color indexed="36"/>
      <name val="Arial"/>
      <family val="2"/>
    </font>
    <font>
      <sz val="8"/>
      <name val="Arial"/>
      <family val="2"/>
    </font>
    <font>
      <b/>
      <sz val="11"/>
      <name val="Trebuchet MS"/>
      <family val="2"/>
    </font>
    <font>
      <sz val="11"/>
      <name val="Trebuchet MS"/>
      <family val="2"/>
    </font>
    <font>
      <b/>
      <sz val="11"/>
      <color indexed="9"/>
      <name val="Trebuchet MS"/>
      <family val="2"/>
    </font>
    <font>
      <sz val="11"/>
      <color indexed="8"/>
      <name val="Trebuchet MS"/>
      <family val="2"/>
    </font>
    <font>
      <u val="single"/>
      <sz val="11"/>
      <color indexed="12"/>
      <name val="Arial"/>
      <family val="2"/>
    </font>
    <font>
      <b/>
      <sz val="16"/>
      <name val="Trebuchet MS"/>
      <family val="2"/>
    </font>
    <font>
      <sz val="12"/>
      <name val="Trebuchet MS"/>
      <family val="2"/>
    </font>
    <font>
      <sz val="10"/>
      <name val="Trebuchet MS"/>
      <family val="2"/>
    </font>
    <font>
      <sz val="10"/>
      <name val="Calibri"/>
      <family val="2"/>
    </font>
    <font>
      <b/>
      <sz val="10"/>
      <name val="Calibri"/>
      <family val="2"/>
    </font>
    <font>
      <sz val="10"/>
      <color indexed="8"/>
      <name val="Calibri"/>
      <family val="2"/>
    </font>
    <font>
      <sz val="11"/>
      <name val="Calibri"/>
      <family val="2"/>
    </font>
    <font>
      <sz val="9"/>
      <name val="Calibri"/>
      <family val="2"/>
    </font>
    <font>
      <sz val="10"/>
      <name val="Verdana"/>
      <family val="2"/>
    </font>
    <font>
      <sz val="8"/>
      <color indexed="10"/>
      <name val="Tahoma"/>
      <family val="2"/>
    </font>
    <font>
      <sz val="9"/>
      <name val="Tahoma"/>
      <family val="2"/>
    </font>
    <font>
      <sz val="11"/>
      <color indexed="10"/>
      <name val="Trebuchet MS"/>
      <family val="2"/>
    </font>
    <font>
      <sz val="30"/>
      <color indexed="56"/>
      <name val="Cambria"/>
      <family val="1"/>
    </font>
    <font>
      <sz val="24"/>
      <color indexed="56"/>
      <name val="Cambria"/>
      <family val="1"/>
    </font>
    <font>
      <b/>
      <sz val="15"/>
      <color indexed="17"/>
      <name val="Calibri"/>
      <family val="2"/>
    </font>
    <font>
      <b/>
      <sz val="14"/>
      <color indexed="17"/>
      <name val="Calibri"/>
      <family val="2"/>
    </font>
    <font>
      <b/>
      <sz val="12"/>
      <color indexed="17"/>
      <name val="Calibri"/>
      <family val="2"/>
    </font>
    <font>
      <b/>
      <sz val="13"/>
      <color indexed="17"/>
      <name val="Calibri"/>
      <family val="2"/>
    </font>
    <font>
      <sz val="13"/>
      <color indexed="8"/>
      <name val="Calibri"/>
      <family val="2"/>
    </font>
    <font>
      <b/>
      <sz val="13"/>
      <color indexed="10"/>
      <name val="Calibri"/>
      <family val="2"/>
    </font>
    <font>
      <b/>
      <sz val="12"/>
      <name val="Calibri"/>
      <family val="2"/>
    </font>
    <font>
      <b/>
      <sz val="12"/>
      <color indexed="10"/>
      <name val="Calibri"/>
      <family val="2"/>
    </font>
    <font>
      <sz val="12"/>
      <name val="Calibri"/>
      <family val="2"/>
    </font>
    <font>
      <b/>
      <sz val="15"/>
      <color indexed="10"/>
      <name val="Calibri"/>
      <family val="2"/>
    </font>
    <font>
      <b/>
      <sz val="10"/>
      <name val="Arial"/>
      <family val="2"/>
    </font>
    <font>
      <sz val="11"/>
      <color indexed="9"/>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Segoe UI"/>
      <family val="2"/>
    </font>
    <font>
      <b/>
      <sz val="11"/>
      <color indexed="12"/>
      <name val="Calibri"/>
      <family val="0"/>
    </font>
    <font>
      <i/>
      <sz val="11"/>
      <color indexed="8"/>
      <name val="Calibri"/>
      <family val="0"/>
    </font>
    <font>
      <b/>
      <i/>
      <sz val="11"/>
      <color indexed="8"/>
      <name val="Calibri"/>
      <family val="0"/>
    </font>
    <font>
      <b/>
      <u val="single"/>
      <sz val="10"/>
      <color indexed="12"/>
      <name val="Arial"/>
      <family val="0"/>
    </font>
    <font>
      <b/>
      <sz val="10"/>
      <color indexed="8"/>
      <name val="Bodoni MT Black"/>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0625">
        <fgColor indexed="41"/>
        <bgColor indexed="31"/>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50"/>
        <bgColor indexed="64"/>
      </patternFill>
    </fill>
    <fill>
      <patternFill patternType="solid">
        <fgColor indexed="48"/>
        <bgColor indexed="64"/>
      </patternFill>
    </fill>
    <fill>
      <patternFill patternType="solid">
        <fgColor indexed="49"/>
        <bgColor indexed="64"/>
      </patternFill>
    </fill>
    <fill>
      <patternFill patternType="solid">
        <fgColor indexed="57"/>
        <bgColor indexed="64"/>
      </patternFill>
    </fill>
    <fill>
      <patternFill patternType="solid">
        <fgColor indexed="21"/>
        <bgColor indexed="64"/>
      </patternFill>
    </fill>
    <fill>
      <patternFill patternType="solid">
        <fgColor indexed="1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border>
    <border>
      <left/>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style="thin"/>
      <top/>
      <bottom style="thin"/>
    </border>
    <border>
      <left style="medium"/>
      <right/>
      <top style="medium"/>
      <bottom style="thin"/>
    </border>
    <border>
      <left style="thin"/>
      <right style="medium"/>
      <top/>
      <bottom style="thin"/>
    </border>
    <border>
      <left style="medium"/>
      <right/>
      <top style="thin"/>
      <bottom style="thin"/>
    </border>
    <border>
      <left style="thin"/>
      <right style="medium"/>
      <top style="thin"/>
      <bottom style="thin"/>
    </border>
    <border>
      <left style="medium"/>
      <right/>
      <top style="thin"/>
      <bottom style="medium"/>
    </border>
    <border>
      <left style="thin"/>
      <right style="medium"/>
      <top style="thin"/>
      <bottom style="medium"/>
    </border>
    <border>
      <left style="medium"/>
      <right style="medium"/>
      <top style="medium"/>
      <bottom style="thin"/>
    </border>
    <border>
      <left/>
      <right/>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top style="thin"/>
      <bottom style="medium"/>
    </border>
    <border>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color indexed="12"/>
      </left>
      <right style="medium">
        <color indexed="12"/>
      </right>
      <top style="medium">
        <color indexed="12"/>
      </top>
      <bottom style="medium">
        <color indexed="12"/>
      </bottom>
    </border>
    <border>
      <left style="medium"/>
      <right/>
      <top style="medium"/>
      <bottom/>
    </border>
    <border>
      <left style="medium"/>
      <right/>
      <top/>
      <bottom/>
    </border>
    <border>
      <left style="medium"/>
      <right/>
      <top/>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3" fillId="28" borderId="1" applyNumberFormat="0" applyAlignment="0" applyProtection="0"/>
    <xf numFmtId="178" fontId="12" fillId="0" borderId="0" applyFon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30"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 fillId="31" borderId="5" applyNumberFormat="0" applyFont="0" applyAlignment="0" applyProtection="0"/>
    <xf numFmtId="9" fontId="1" fillId="0" borderId="0" applyFont="0" applyFill="0" applyBorder="0" applyAlignment="0" applyProtection="0"/>
    <xf numFmtId="9" fontId="12" fillId="0" borderId="0" applyFont="0" applyFill="0" applyBorder="0" applyAlignment="0" applyProtection="0"/>
    <xf numFmtId="0" fontId="76" fillId="20"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2" fillId="0" borderId="8" applyNumberFormat="0" applyFill="0" applyAlignment="0" applyProtection="0"/>
    <xf numFmtId="0" fontId="81" fillId="0" borderId="9" applyNumberFormat="0" applyFill="0" applyAlignment="0" applyProtection="0"/>
  </cellStyleXfs>
  <cellXfs count="333">
    <xf numFmtId="0" fontId="0" fillId="0" borderId="0" xfId="0" applyFont="1" applyAlignment="1">
      <alignment/>
    </xf>
    <xf numFmtId="0" fontId="0" fillId="0" borderId="0" xfId="0" applyBorder="1" applyAlignment="1">
      <alignment/>
    </xf>
    <xf numFmtId="0" fontId="4" fillId="0" borderId="0" xfId="0" applyFont="1" applyBorder="1" applyAlignment="1">
      <alignment horizontal="center" vertical="center"/>
    </xf>
    <xf numFmtId="0" fontId="0" fillId="0" borderId="0" xfId="0" applyAlignment="1">
      <alignment horizontal="center" vertical="center"/>
    </xf>
    <xf numFmtId="3" fontId="16" fillId="0" borderId="10" xfId="58" applyNumberFormat="1" applyFont="1" applyFill="1" applyBorder="1" applyAlignment="1" applyProtection="1">
      <alignment vertical="center" wrapText="1"/>
      <protection locked="0"/>
    </xf>
    <xf numFmtId="3" fontId="16" fillId="0" borderId="10" xfId="58" applyNumberFormat="1" applyFont="1" applyFill="1" applyBorder="1" applyAlignment="1" applyProtection="1">
      <alignment horizontal="justify" vertical="center" wrapText="1"/>
      <protection locked="0"/>
    </xf>
    <xf numFmtId="3" fontId="16" fillId="0" borderId="10" xfId="58" applyNumberFormat="1" applyFont="1" applyFill="1" applyBorder="1" applyAlignment="1" applyProtection="1">
      <alignment horizontal="left" vertical="center" wrapText="1"/>
      <protection locked="0"/>
    </xf>
    <xf numFmtId="3" fontId="16" fillId="0" borderId="10" xfId="58" applyNumberFormat="1" applyFont="1" applyFill="1" applyBorder="1" applyAlignment="1" applyProtection="1">
      <alignment horizontal="right" vertical="center" wrapText="1"/>
      <protection locked="0"/>
    </xf>
    <xf numFmtId="3" fontId="16" fillId="0" borderId="10" xfId="58" applyNumberFormat="1" applyFont="1" applyFill="1" applyBorder="1" applyAlignment="1" applyProtection="1">
      <alignment horizontal="center" vertical="center" wrapText="1"/>
      <protection locked="0"/>
    </xf>
    <xf numFmtId="0" fontId="16" fillId="0" borderId="10" xfId="58" applyFont="1" applyFill="1" applyBorder="1" applyAlignment="1" applyProtection="1">
      <alignment horizontal="justify" vertical="center" wrapText="1"/>
      <protection locked="0"/>
    </xf>
    <xf numFmtId="0" fontId="16" fillId="0" borderId="10" xfId="58" applyFont="1" applyFill="1" applyBorder="1" applyAlignment="1" applyProtection="1">
      <alignment horizontal="left" vertical="center" wrapText="1"/>
      <protection locked="0"/>
    </xf>
    <xf numFmtId="0" fontId="16" fillId="0" borderId="10" xfId="58" applyFont="1" applyFill="1" applyBorder="1" applyAlignment="1" applyProtection="1">
      <alignment horizontal="right" vertical="center" wrapText="1"/>
      <protection locked="0"/>
    </xf>
    <xf numFmtId="0" fontId="16" fillId="0" borderId="10" xfId="57" applyFont="1" applyFill="1" applyBorder="1" applyAlignment="1" applyProtection="1">
      <alignment horizontal="left" vertical="center" wrapText="1"/>
      <protection locked="0"/>
    </xf>
    <xf numFmtId="3" fontId="18" fillId="0" borderId="10" xfId="58" applyNumberFormat="1" applyFont="1" applyFill="1" applyBorder="1" applyAlignment="1" applyProtection="1">
      <alignment horizontal="right" vertical="center" wrapText="1"/>
      <protection locked="0"/>
    </xf>
    <xf numFmtId="3" fontId="16" fillId="0" borderId="10" xfId="58" applyNumberFormat="1" applyFont="1" applyFill="1" applyBorder="1" applyAlignment="1" applyProtection="1">
      <alignment horizontal="justify" vertical="top" wrapText="1"/>
      <protection locked="0"/>
    </xf>
    <xf numFmtId="3" fontId="16" fillId="0" borderId="10" xfId="58" applyNumberFormat="1" applyFont="1" applyFill="1" applyBorder="1" applyAlignment="1" applyProtection="1">
      <alignment horizontal="right" vertical="top" wrapText="1"/>
      <protection locked="0"/>
    </xf>
    <xf numFmtId="3" fontId="16" fillId="0" borderId="10" xfId="58" applyNumberFormat="1" applyFont="1" applyFill="1" applyBorder="1" applyAlignment="1" applyProtection="1">
      <alignment vertical="top" wrapText="1"/>
      <protection locked="0"/>
    </xf>
    <xf numFmtId="3" fontId="18" fillId="0" borderId="10" xfId="58" applyNumberFormat="1" applyFont="1" applyFill="1" applyBorder="1" applyAlignment="1" applyProtection="1">
      <alignment horizontal="center" vertical="center" wrapText="1"/>
      <protection locked="0"/>
    </xf>
    <xf numFmtId="3" fontId="18" fillId="0" borderId="10" xfId="58" applyNumberFormat="1" applyFont="1" applyFill="1" applyBorder="1" applyAlignment="1" applyProtection="1">
      <alignment vertical="center" wrapText="1"/>
      <protection locked="0"/>
    </xf>
    <xf numFmtId="3" fontId="16" fillId="0" borderId="10" xfId="58" applyNumberFormat="1" applyFont="1" applyFill="1" applyBorder="1" applyAlignment="1" applyProtection="1">
      <alignment horizontal="left" vertical="top"/>
      <protection locked="0"/>
    </xf>
    <xf numFmtId="3" fontId="16" fillId="0" borderId="10" xfId="58" applyNumberFormat="1" applyFont="1" applyFill="1" applyBorder="1" applyAlignment="1" applyProtection="1">
      <alignment horizontal="right" vertical="top"/>
      <protection locked="0"/>
    </xf>
    <xf numFmtId="3" fontId="18" fillId="0" borderId="10" xfId="58" applyNumberFormat="1" applyFont="1" applyFill="1" applyBorder="1" applyAlignment="1" applyProtection="1">
      <alignment horizontal="right" vertical="top"/>
      <protection locked="0"/>
    </xf>
    <xf numFmtId="180" fontId="16" fillId="0" borderId="10" xfId="58" applyNumberFormat="1" applyFont="1" applyFill="1" applyBorder="1" applyAlignment="1" applyProtection="1">
      <alignment horizontal="justify" vertical="center" wrapText="1"/>
      <protection locked="0"/>
    </xf>
    <xf numFmtId="3" fontId="16" fillId="0" borderId="0" xfId="58" applyNumberFormat="1" applyFont="1" applyAlignment="1" applyProtection="1">
      <alignment vertical="top"/>
      <protection/>
    </xf>
    <xf numFmtId="3" fontId="21" fillId="0" borderId="0" xfId="58" applyNumberFormat="1" applyFont="1" applyAlignment="1" applyProtection="1">
      <alignment vertical="top"/>
      <protection/>
    </xf>
    <xf numFmtId="3" fontId="16" fillId="0" borderId="0" xfId="58" applyNumberFormat="1" applyFont="1" applyAlignment="1" applyProtection="1">
      <alignment horizontal="right" vertical="top"/>
      <protection/>
    </xf>
    <xf numFmtId="3" fontId="19" fillId="0" borderId="0" xfId="47" applyNumberFormat="1" applyFont="1" applyAlignment="1" applyProtection="1">
      <alignment vertical="top"/>
      <protection/>
    </xf>
    <xf numFmtId="3" fontId="15" fillId="32" borderId="10" xfId="58" applyNumberFormat="1" applyFont="1" applyFill="1" applyBorder="1" applyAlignment="1" applyProtection="1">
      <alignment horizontal="right" vertical="center" wrapText="1"/>
      <protection/>
    </xf>
    <xf numFmtId="3" fontId="16" fillId="0" borderId="0" xfId="58" applyNumberFormat="1" applyFont="1" applyAlignment="1" applyProtection="1">
      <alignment vertical="top" wrapText="1"/>
      <protection/>
    </xf>
    <xf numFmtId="3" fontId="15" fillId="32" borderId="11" xfId="58" applyNumberFormat="1" applyFont="1" applyFill="1" applyBorder="1" applyAlignment="1" applyProtection="1">
      <alignment horizontal="right" vertical="center" wrapText="1"/>
      <protection/>
    </xf>
    <xf numFmtId="3" fontId="15" fillId="32" borderId="0" xfId="0" applyNumberFormat="1" applyFont="1" applyFill="1" applyBorder="1" applyAlignment="1" applyProtection="1">
      <alignment horizontal="center" vertical="center" wrapText="1"/>
      <protection/>
    </xf>
    <xf numFmtId="3" fontId="16" fillId="0" borderId="0" xfId="58" applyNumberFormat="1" applyFont="1" applyBorder="1" applyAlignment="1" applyProtection="1">
      <alignment vertical="top" wrapText="1"/>
      <protection/>
    </xf>
    <xf numFmtId="3" fontId="15" fillId="33" borderId="12" xfId="58" applyNumberFormat="1" applyFont="1" applyFill="1" applyBorder="1" applyAlignment="1" applyProtection="1">
      <alignment vertical="center"/>
      <protection/>
    </xf>
    <xf numFmtId="3" fontId="15" fillId="33" borderId="11" xfId="58" applyNumberFormat="1" applyFont="1" applyFill="1" applyBorder="1" applyAlignment="1" applyProtection="1">
      <alignment vertical="center"/>
      <protection/>
    </xf>
    <xf numFmtId="3" fontId="15" fillId="32" borderId="12" xfId="58" applyNumberFormat="1" applyFont="1" applyFill="1" applyBorder="1" applyAlignment="1" applyProtection="1">
      <alignment vertical="center"/>
      <protection/>
    </xf>
    <xf numFmtId="3" fontId="15" fillId="32" borderId="11" xfId="58" applyNumberFormat="1" applyFont="1" applyFill="1" applyBorder="1" applyAlignment="1" applyProtection="1">
      <alignment vertical="center"/>
      <protection/>
    </xf>
    <xf numFmtId="3" fontId="15" fillId="32" borderId="11" xfId="58" applyNumberFormat="1" applyFont="1" applyFill="1" applyBorder="1" applyAlignment="1" applyProtection="1">
      <alignment vertical="center" wrapText="1"/>
      <protection/>
    </xf>
    <xf numFmtId="3" fontId="15" fillId="32" borderId="13" xfId="58" applyNumberFormat="1" applyFont="1" applyFill="1" applyBorder="1" applyAlignment="1" applyProtection="1">
      <alignment vertical="center" wrapText="1"/>
      <protection/>
    </xf>
    <xf numFmtId="0" fontId="16" fillId="0" borderId="10" xfId="58" applyFont="1" applyFill="1" applyBorder="1" applyAlignment="1" applyProtection="1">
      <alignment horizontal="left" vertical="center" wrapText="1"/>
      <protection/>
    </xf>
    <xf numFmtId="0" fontId="16" fillId="0" borderId="10" xfId="58" applyFont="1" applyFill="1" applyBorder="1" applyAlignment="1" applyProtection="1">
      <alignment vertical="center" wrapText="1"/>
      <protection/>
    </xf>
    <xf numFmtId="3" fontId="16" fillId="0" borderId="10" xfId="58" applyNumberFormat="1" applyFont="1" applyFill="1" applyBorder="1" applyAlignment="1" applyProtection="1">
      <alignment horizontal="right" vertical="center" wrapText="1"/>
      <protection/>
    </xf>
    <xf numFmtId="3" fontId="16" fillId="0" borderId="10" xfId="58" applyNumberFormat="1" applyFont="1" applyFill="1" applyBorder="1" applyAlignment="1" applyProtection="1">
      <alignment vertical="center" wrapText="1"/>
      <protection/>
    </xf>
    <xf numFmtId="3" fontId="16" fillId="34" borderId="0" xfId="58" applyNumberFormat="1" applyFont="1" applyFill="1" applyBorder="1" applyAlignment="1" applyProtection="1">
      <alignment vertical="top"/>
      <protection/>
    </xf>
    <xf numFmtId="3" fontId="16" fillId="0" borderId="10" xfId="58" applyNumberFormat="1" applyFont="1" applyFill="1" applyBorder="1" applyAlignment="1" applyProtection="1">
      <alignment horizontal="left" vertical="center" wrapText="1"/>
      <protection/>
    </xf>
    <xf numFmtId="3" fontId="15" fillId="32" borderId="10" xfId="58" applyNumberFormat="1" applyFont="1" applyFill="1" applyBorder="1" applyAlignment="1" applyProtection="1">
      <alignment vertical="center" wrapText="1"/>
      <protection/>
    </xf>
    <xf numFmtId="3" fontId="15" fillId="32" borderId="10" xfId="58" applyNumberFormat="1" applyFont="1" applyFill="1" applyBorder="1" applyAlignment="1" applyProtection="1">
      <alignment horizontal="right" vertical="center"/>
      <protection/>
    </xf>
    <xf numFmtId="3" fontId="15" fillId="32" borderId="10" xfId="58" applyNumberFormat="1" applyFont="1" applyFill="1" applyBorder="1" applyAlignment="1" applyProtection="1">
      <alignment vertical="center"/>
      <protection/>
    </xf>
    <xf numFmtId="3" fontId="16" fillId="32" borderId="0" xfId="58" applyNumberFormat="1" applyFont="1" applyFill="1" applyAlignment="1" applyProtection="1">
      <alignment vertical="top"/>
      <protection/>
    </xf>
    <xf numFmtId="3" fontId="16" fillId="0" borderId="10" xfId="58" applyNumberFormat="1" applyFont="1" applyFill="1" applyBorder="1" applyAlignment="1" applyProtection="1">
      <alignment horizontal="center" vertical="center" wrapText="1"/>
      <protection/>
    </xf>
    <xf numFmtId="3" fontId="16" fillId="34" borderId="0" xfId="58" applyNumberFormat="1" applyFont="1" applyFill="1" applyAlignment="1" applyProtection="1">
      <alignment vertical="top"/>
      <protection/>
    </xf>
    <xf numFmtId="3" fontId="18" fillId="0" borderId="10" xfId="58" applyNumberFormat="1" applyFont="1" applyFill="1" applyBorder="1" applyAlignment="1" applyProtection="1">
      <alignment horizontal="right" vertical="center" wrapText="1"/>
      <protection/>
    </xf>
    <xf numFmtId="3" fontId="18" fillId="0" borderId="10" xfId="58" applyNumberFormat="1" applyFont="1" applyFill="1" applyBorder="1" applyAlignment="1" applyProtection="1">
      <alignment horizontal="justify" vertical="center" wrapText="1"/>
      <protection/>
    </xf>
    <xf numFmtId="0" fontId="16" fillId="0" borderId="10" xfId="58" applyFont="1" applyFill="1" applyBorder="1" applyAlignment="1" applyProtection="1">
      <alignment horizontal="center" vertical="center" wrapText="1"/>
      <protection/>
    </xf>
    <xf numFmtId="0" fontId="16" fillId="0" borderId="10" xfId="58" applyFont="1" applyFill="1" applyBorder="1" applyAlignment="1" applyProtection="1">
      <alignment horizontal="justify" vertical="center" wrapText="1"/>
      <protection/>
    </xf>
    <xf numFmtId="3" fontId="16" fillId="0" borderId="10" xfId="58" applyNumberFormat="1" applyFont="1" applyFill="1" applyBorder="1" applyAlignment="1" applyProtection="1">
      <alignment horizontal="right" vertical="center"/>
      <protection/>
    </xf>
    <xf numFmtId="180" fontId="16" fillId="0" borderId="10" xfId="58" applyNumberFormat="1" applyFont="1" applyFill="1" applyBorder="1" applyAlignment="1" applyProtection="1">
      <alignment vertical="center" wrapText="1"/>
      <protection/>
    </xf>
    <xf numFmtId="3" fontId="16" fillId="0" borderId="10" xfId="58" applyNumberFormat="1" applyFont="1" applyFill="1" applyBorder="1" applyAlignment="1" applyProtection="1">
      <alignment horizontal="justify" vertical="top" wrapText="1"/>
      <protection/>
    </xf>
    <xf numFmtId="3" fontId="16" fillId="0" borderId="10" xfId="58" applyNumberFormat="1" applyFont="1" applyFill="1" applyBorder="1" applyAlignment="1" applyProtection="1">
      <alignment horizontal="right" vertical="top" wrapText="1"/>
      <protection/>
    </xf>
    <xf numFmtId="3" fontId="16" fillId="35" borderId="0" xfId="58" applyNumberFormat="1" applyFont="1" applyFill="1" applyAlignment="1" applyProtection="1">
      <alignment vertical="top"/>
      <protection/>
    </xf>
    <xf numFmtId="3" fontId="16" fillId="0" borderId="10" xfId="58" applyNumberFormat="1" applyFont="1" applyFill="1" applyBorder="1" applyAlignment="1" applyProtection="1">
      <alignment vertical="top" wrapText="1"/>
      <protection/>
    </xf>
    <xf numFmtId="0" fontId="16" fillId="0" borderId="10" xfId="58" applyFont="1" applyFill="1" applyBorder="1" applyAlignment="1" applyProtection="1">
      <alignment horizontal="right" vertical="center" wrapText="1"/>
      <protection/>
    </xf>
    <xf numFmtId="3" fontId="18" fillId="0" borderId="10" xfId="58" applyNumberFormat="1" applyFont="1" applyFill="1" applyBorder="1" applyAlignment="1" applyProtection="1">
      <alignment horizontal="right" vertical="center"/>
      <protection/>
    </xf>
    <xf numFmtId="3" fontId="18" fillId="0" borderId="10" xfId="58" applyNumberFormat="1" applyFont="1" applyFill="1" applyBorder="1" applyAlignment="1" applyProtection="1">
      <alignment horizontal="center" vertical="center" wrapText="1"/>
      <protection/>
    </xf>
    <xf numFmtId="3" fontId="18" fillId="0" borderId="10" xfId="58" applyNumberFormat="1" applyFont="1" applyFill="1" applyBorder="1" applyAlignment="1" applyProtection="1">
      <alignment vertical="center" wrapText="1"/>
      <protection/>
    </xf>
    <xf numFmtId="0" fontId="16" fillId="0" borderId="10" xfId="57" applyFont="1" applyFill="1" applyBorder="1" applyAlignment="1" applyProtection="1">
      <alignment vertical="center" wrapText="1"/>
      <protection/>
    </xf>
    <xf numFmtId="3" fontId="16" fillId="0" borderId="10" xfId="57" applyNumberFormat="1" applyFont="1" applyFill="1" applyBorder="1" applyAlignment="1" applyProtection="1">
      <alignment horizontal="right" vertical="center" wrapText="1"/>
      <protection/>
    </xf>
    <xf numFmtId="0" fontId="16" fillId="0" borderId="10" xfId="57" applyFont="1" applyFill="1" applyBorder="1" applyAlignment="1" applyProtection="1">
      <alignment horizontal="left" vertical="center" wrapText="1"/>
      <protection/>
    </xf>
    <xf numFmtId="3" fontId="16" fillId="0" borderId="10" xfId="58" applyNumberFormat="1" applyFont="1" applyFill="1" applyBorder="1" applyAlignment="1" applyProtection="1">
      <alignment horizontal="justify" vertical="center" wrapText="1"/>
      <protection/>
    </xf>
    <xf numFmtId="3" fontId="16" fillId="0" borderId="10" xfId="58" applyNumberFormat="1" applyFont="1" applyFill="1" applyBorder="1" applyAlignment="1" applyProtection="1">
      <alignment horizontal="left" vertical="top"/>
      <protection/>
    </xf>
    <xf numFmtId="3" fontId="16" fillId="0" borderId="10" xfId="58" applyNumberFormat="1" applyFont="1" applyFill="1" applyBorder="1" applyAlignment="1" applyProtection="1">
      <alignment horizontal="right" vertical="top"/>
      <protection/>
    </xf>
    <xf numFmtId="3" fontId="16" fillId="34" borderId="0" xfId="58" applyNumberFormat="1" applyFont="1" applyFill="1" applyBorder="1" applyAlignment="1" applyProtection="1">
      <alignment horizontal="left" vertical="top"/>
      <protection/>
    </xf>
    <xf numFmtId="3" fontId="18" fillId="0" borderId="10" xfId="58" applyNumberFormat="1" applyFont="1" applyFill="1" applyBorder="1" applyAlignment="1" applyProtection="1">
      <alignment vertical="top"/>
      <protection/>
    </xf>
    <xf numFmtId="3" fontId="18" fillId="0" borderId="10" xfId="58" applyNumberFormat="1" applyFont="1" applyFill="1" applyBorder="1" applyAlignment="1" applyProtection="1">
      <alignment horizontal="right" vertical="top"/>
      <protection/>
    </xf>
    <xf numFmtId="180" fontId="16" fillId="0" borderId="10" xfId="58" applyNumberFormat="1" applyFont="1" applyFill="1" applyBorder="1" applyAlignment="1" applyProtection="1">
      <alignment horizontal="justify" vertical="center" wrapText="1"/>
      <protection/>
    </xf>
    <xf numFmtId="3" fontId="16" fillId="0" borderId="0" xfId="58" applyNumberFormat="1" applyFont="1" applyBorder="1" applyAlignment="1" applyProtection="1">
      <alignment vertical="top"/>
      <protection/>
    </xf>
    <xf numFmtId="0" fontId="16" fillId="0" borderId="10" xfId="58" applyFont="1" applyFill="1" applyBorder="1" applyAlignment="1" applyProtection="1">
      <alignment vertical="top" wrapText="1"/>
      <protection/>
    </xf>
    <xf numFmtId="0" fontId="16" fillId="0" borderId="10" xfId="57" applyFont="1" applyFill="1" applyBorder="1" applyAlignment="1" applyProtection="1">
      <alignment vertical="center" wrapText="1" shrinkToFit="1"/>
      <protection/>
    </xf>
    <xf numFmtId="3" fontId="15" fillId="33" borderId="11" xfId="58" applyNumberFormat="1" applyFont="1" applyFill="1" applyBorder="1" applyAlignment="1" applyProtection="1">
      <alignment vertical="center" wrapText="1"/>
      <protection/>
    </xf>
    <xf numFmtId="3" fontId="15" fillId="32" borderId="12" xfId="58" applyNumberFormat="1" applyFont="1" applyFill="1" applyBorder="1" applyAlignment="1" applyProtection="1">
      <alignment vertical="center" wrapText="1"/>
      <protection/>
    </xf>
    <xf numFmtId="3" fontId="16" fillId="34" borderId="0" xfId="58" applyNumberFormat="1" applyFont="1" applyFill="1" applyAlignment="1" applyProtection="1">
      <alignment vertical="center"/>
      <protection/>
    </xf>
    <xf numFmtId="1" fontId="16" fillId="0" borderId="10" xfId="58" applyNumberFormat="1" applyFont="1" applyFill="1" applyBorder="1" applyAlignment="1" applyProtection="1">
      <alignment horizontal="left" vertical="center" wrapText="1"/>
      <protection/>
    </xf>
    <xf numFmtId="3" fontId="16" fillId="0" borderId="0" xfId="58" applyNumberFormat="1" applyFont="1" applyFill="1" applyAlignment="1" applyProtection="1">
      <alignment horizontal="right" vertical="center"/>
      <protection/>
    </xf>
    <xf numFmtId="3" fontId="15" fillId="0" borderId="10" xfId="56" applyNumberFormat="1" applyFont="1" applyFill="1" applyBorder="1" applyAlignment="1" applyProtection="1">
      <alignment horizontal="right" vertical="center" wrapText="1"/>
      <protection/>
    </xf>
    <xf numFmtId="3" fontId="15" fillId="0" borderId="10" xfId="58" applyNumberFormat="1" applyFont="1" applyFill="1" applyBorder="1" applyAlignment="1" applyProtection="1">
      <alignment horizontal="right" vertical="center" wrapText="1"/>
      <protection/>
    </xf>
    <xf numFmtId="3" fontId="16" fillId="36" borderId="0" xfId="58" applyNumberFormat="1" applyFont="1" applyFill="1" applyAlignment="1" applyProtection="1">
      <alignment vertical="center"/>
      <protection/>
    </xf>
    <xf numFmtId="0" fontId="16" fillId="0" borderId="10" xfId="56" applyFont="1" applyFill="1" applyBorder="1" applyAlignment="1" applyProtection="1">
      <alignment horizontal="justify" vertical="center" wrapText="1"/>
      <protection/>
    </xf>
    <xf numFmtId="3" fontId="16" fillId="0" borderId="0" xfId="58" applyNumberFormat="1" applyFont="1" applyFill="1" applyAlignment="1" applyProtection="1">
      <alignment vertical="center"/>
      <protection/>
    </xf>
    <xf numFmtId="3" fontId="15" fillId="37" borderId="12" xfId="58" applyNumberFormat="1" applyFont="1" applyFill="1" applyBorder="1" applyAlignment="1" applyProtection="1">
      <alignment vertical="center"/>
      <protection/>
    </xf>
    <xf numFmtId="3" fontId="15" fillId="37" borderId="11" xfId="58" applyNumberFormat="1" applyFont="1" applyFill="1" applyBorder="1" applyAlignment="1" applyProtection="1">
      <alignment vertical="center" wrapText="1"/>
      <protection/>
    </xf>
    <xf numFmtId="3" fontId="15" fillId="37" borderId="11" xfId="58" applyNumberFormat="1" applyFont="1" applyFill="1" applyBorder="1" applyAlignment="1" applyProtection="1">
      <alignment horizontal="right" vertical="center" wrapText="1"/>
      <protection/>
    </xf>
    <xf numFmtId="3" fontId="15" fillId="38" borderId="10" xfId="58" applyNumberFormat="1" applyFont="1" applyFill="1" applyBorder="1" applyAlignment="1" applyProtection="1">
      <alignment vertical="center" wrapText="1"/>
      <protection/>
    </xf>
    <xf numFmtId="3" fontId="15" fillId="38" borderId="10" xfId="58" applyNumberFormat="1" applyFont="1" applyFill="1" applyBorder="1" applyAlignment="1" applyProtection="1">
      <alignment horizontal="right" vertical="center" wrapText="1"/>
      <protection/>
    </xf>
    <xf numFmtId="3" fontId="15" fillId="38" borderId="12" xfId="58" applyNumberFormat="1" applyFont="1" applyFill="1" applyBorder="1" applyAlignment="1" applyProtection="1">
      <alignment vertical="center"/>
      <protection/>
    </xf>
    <xf numFmtId="3" fontId="15" fillId="38" borderId="11" xfId="58" applyNumberFormat="1" applyFont="1" applyFill="1" applyBorder="1" applyAlignment="1" applyProtection="1">
      <alignment vertical="center"/>
      <protection/>
    </xf>
    <xf numFmtId="3" fontId="15" fillId="38" borderId="11" xfId="58" applyNumberFormat="1" applyFont="1" applyFill="1" applyBorder="1" applyAlignment="1" applyProtection="1">
      <alignment horizontal="right" vertical="center" wrapText="1"/>
      <protection/>
    </xf>
    <xf numFmtId="3" fontId="15" fillId="38" borderId="11" xfId="58" applyNumberFormat="1" applyFont="1" applyFill="1" applyBorder="1" applyAlignment="1" applyProtection="1">
      <alignment vertical="center" wrapText="1"/>
      <protection/>
    </xf>
    <xf numFmtId="3" fontId="16" fillId="0" borderId="10" xfId="58" applyNumberFormat="1" applyFont="1" applyFill="1" applyBorder="1" applyAlignment="1" applyProtection="1">
      <alignment horizontal="right" vertical="center" wrapText="1"/>
      <protection/>
    </xf>
    <xf numFmtId="3" fontId="15" fillId="0" borderId="10" xfId="58" applyNumberFormat="1" applyFont="1" applyFill="1" applyBorder="1" applyAlignment="1" applyProtection="1">
      <alignment horizontal="center" vertical="center" wrapText="1"/>
      <protection/>
    </xf>
    <xf numFmtId="3" fontId="16" fillId="0" borderId="10" xfId="58" applyNumberFormat="1" applyFont="1" applyFill="1" applyBorder="1" applyAlignment="1" applyProtection="1">
      <alignment horizontal="left" vertical="center" wrapText="1"/>
      <protection/>
    </xf>
    <xf numFmtId="3" fontId="16" fillId="0" borderId="10" xfId="50" applyNumberFormat="1" applyFont="1" applyFill="1" applyBorder="1" applyAlignment="1" applyProtection="1">
      <alignment horizontal="right" vertical="center" wrapText="1"/>
      <protection/>
    </xf>
    <xf numFmtId="0" fontId="16" fillId="0" borderId="10" xfId="58" applyFont="1" applyFill="1" applyBorder="1" applyAlignment="1" applyProtection="1">
      <alignment horizontal="justify" vertical="center"/>
      <protection/>
    </xf>
    <xf numFmtId="1" fontId="16" fillId="0" borderId="10" xfId="58" applyNumberFormat="1" applyFont="1" applyFill="1" applyBorder="1" applyAlignment="1" applyProtection="1">
      <alignment horizontal="right" vertical="center"/>
      <protection/>
    </xf>
    <xf numFmtId="0" fontId="16" fillId="0" borderId="10" xfId="58" applyFont="1" applyFill="1" applyBorder="1" applyAlignment="1" applyProtection="1">
      <alignment horizontal="center" vertical="center"/>
      <protection/>
    </xf>
    <xf numFmtId="0" fontId="16" fillId="0" borderId="10" xfId="58" applyFont="1" applyFill="1" applyBorder="1" applyAlignment="1" applyProtection="1">
      <alignment horizontal="right" vertical="center"/>
      <protection/>
    </xf>
    <xf numFmtId="3" fontId="15" fillId="37" borderId="10" xfId="58" applyNumberFormat="1" applyFont="1" applyFill="1" applyBorder="1" applyAlignment="1" applyProtection="1">
      <alignment vertical="center" wrapText="1"/>
      <protection/>
    </xf>
    <xf numFmtId="3" fontId="15" fillId="37" borderId="10" xfId="58" applyNumberFormat="1" applyFont="1" applyFill="1" applyBorder="1" applyAlignment="1" applyProtection="1">
      <alignment horizontal="right" vertical="center" wrapText="1"/>
      <protection/>
    </xf>
    <xf numFmtId="3" fontId="16" fillId="0" borderId="0" xfId="58" applyNumberFormat="1" applyFont="1" applyAlignment="1" applyProtection="1">
      <alignment horizontal="left" vertical="top"/>
      <protection/>
    </xf>
    <xf numFmtId="3" fontId="16" fillId="39" borderId="0" xfId="58" applyNumberFormat="1" applyFont="1" applyFill="1" applyAlignment="1" applyProtection="1">
      <alignment vertical="top"/>
      <protection/>
    </xf>
    <xf numFmtId="3" fontId="16" fillId="39" borderId="0" xfId="58" applyNumberFormat="1" applyFont="1" applyFill="1" applyBorder="1" applyAlignment="1" applyProtection="1">
      <alignment vertical="top"/>
      <protection/>
    </xf>
    <xf numFmtId="0" fontId="16" fillId="34" borderId="0" xfId="58" applyFont="1" applyFill="1" applyProtection="1">
      <alignment/>
      <protection/>
    </xf>
    <xf numFmtId="166" fontId="16" fillId="0" borderId="10" xfId="58" applyNumberFormat="1" applyFont="1" applyFill="1" applyBorder="1" applyAlignment="1" applyProtection="1">
      <alignment horizontal="center" vertical="center" wrapText="1"/>
      <protection/>
    </xf>
    <xf numFmtId="166" fontId="16" fillId="0" borderId="10" xfId="58" applyNumberFormat="1" applyFont="1" applyFill="1" applyBorder="1" applyAlignment="1" applyProtection="1">
      <alignment horizontal="left" vertical="center" wrapText="1"/>
      <protection/>
    </xf>
    <xf numFmtId="1" fontId="16" fillId="0" borderId="10" xfId="58" applyNumberFormat="1" applyFont="1" applyFill="1" applyBorder="1" applyAlignment="1" applyProtection="1">
      <alignment horizontal="center" vertical="center" wrapText="1"/>
      <protection/>
    </xf>
    <xf numFmtId="0" fontId="16" fillId="34" borderId="0" xfId="58" applyFont="1" applyFill="1" applyBorder="1" applyProtection="1">
      <alignment/>
      <protection/>
    </xf>
    <xf numFmtId="0" fontId="15" fillId="34" borderId="0" xfId="58" applyFont="1" applyFill="1" applyAlignment="1" applyProtection="1">
      <alignment vertical="center"/>
      <protection/>
    </xf>
    <xf numFmtId="1" fontId="18" fillId="0" borderId="10" xfId="58" applyNumberFormat="1" applyFont="1" applyFill="1" applyBorder="1" applyAlignment="1" applyProtection="1">
      <alignment horizontal="left" vertical="center" wrapText="1"/>
      <protection/>
    </xf>
    <xf numFmtId="0" fontId="16" fillId="0" borderId="0" xfId="58" applyFont="1" applyProtection="1">
      <alignment/>
      <protection/>
    </xf>
    <xf numFmtId="3" fontId="16" fillId="0" borderId="10" xfId="53" applyNumberFormat="1" applyFont="1" applyFill="1" applyBorder="1" applyAlignment="1" applyProtection="1">
      <alignment horizontal="right" vertical="center" wrapText="1"/>
      <protection/>
    </xf>
    <xf numFmtId="3" fontId="16" fillId="0" borderId="0" xfId="58" applyNumberFormat="1" applyFont="1" applyAlignment="1" applyProtection="1">
      <alignment vertical="center" wrapText="1"/>
      <protection/>
    </xf>
    <xf numFmtId="3" fontId="16" fillId="0" borderId="0" xfId="58" applyNumberFormat="1" applyFont="1" applyAlignment="1" applyProtection="1">
      <alignment horizontal="right" vertical="center" wrapText="1"/>
      <protection/>
    </xf>
    <xf numFmtId="3" fontId="16" fillId="0" borderId="0" xfId="58" applyNumberFormat="1" applyFont="1" applyFill="1" applyAlignment="1" applyProtection="1">
      <alignment horizontal="right" vertical="top"/>
      <protection/>
    </xf>
    <xf numFmtId="3" fontId="16" fillId="0" borderId="0" xfId="58" applyNumberFormat="1" applyFont="1" applyFill="1" applyAlignment="1" applyProtection="1">
      <alignment vertical="top"/>
      <protection/>
    </xf>
    <xf numFmtId="0" fontId="0" fillId="0" borderId="14" xfId="0" applyBorder="1" applyAlignment="1">
      <alignment/>
    </xf>
    <xf numFmtId="0" fontId="0" fillId="0" borderId="15" xfId="0" applyBorder="1" applyAlignment="1">
      <alignment/>
    </xf>
    <xf numFmtId="0" fontId="0" fillId="0" borderId="0" xfId="0" applyBorder="1" applyAlignment="1">
      <alignment vertical="top" wrapText="1"/>
    </xf>
    <xf numFmtId="0" fontId="23" fillId="36" borderId="10" xfId="58" applyFont="1" applyFill="1" applyBorder="1" applyAlignment="1">
      <alignment horizontal="center" vertical="center" wrapText="1"/>
      <protection/>
    </xf>
    <xf numFmtId="0" fontId="23" fillId="36" borderId="10" xfId="58" applyFont="1" applyFill="1" applyBorder="1" applyAlignment="1">
      <alignment horizontal="justify" vertical="center" wrapText="1"/>
      <protection/>
    </xf>
    <xf numFmtId="3" fontId="23" fillId="36" borderId="10" xfId="58" applyNumberFormat="1" applyFont="1" applyFill="1" applyBorder="1" applyAlignment="1">
      <alignment horizontal="right" vertical="center" wrapText="1"/>
      <protection/>
    </xf>
    <xf numFmtId="3" fontId="23" fillId="36" borderId="10" xfId="58" applyNumberFormat="1" applyFont="1" applyFill="1" applyBorder="1" applyAlignment="1">
      <alignment horizontal="right" vertical="center"/>
      <protection/>
    </xf>
    <xf numFmtId="0" fontId="23" fillId="36" borderId="10" xfId="58" applyFont="1" applyFill="1" applyBorder="1" applyAlignment="1">
      <alignment horizontal="justify" vertical="center" wrapText="1"/>
      <protection/>
    </xf>
    <xf numFmtId="0" fontId="23" fillId="0" borderId="10" xfId="58" applyFont="1" applyFill="1" applyBorder="1" applyAlignment="1">
      <alignment horizontal="justify" vertical="center" wrapText="1"/>
      <protection/>
    </xf>
    <xf numFmtId="182" fontId="23" fillId="36" borderId="10" xfId="52" applyNumberFormat="1" applyFont="1" applyFill="1" applyBorder="1" applyAlignment="1">
      <alignment horizontal="right" vertical="center" wrapText="1"/>
    </xf>
    <xf numFmtId="3" fontId="23" fillId="36" borderId="10" xfId="58" applyNumberFormat="1" applyFont="1" applyFill="1" applyBorder="1" applyAlignment="1">
      <alignment horizontal="center" vertical="center" wrapText="1"/>
      <protection/>
    </xf>
    <xf numFmtId="0" fontId="23" fillId="36" borderId="10" xfId="0" applyFont="1" applyFill="1" applyBorder="1" applyAlignment="1" applyProtection="1">
      <alignment horizontal="justify" vertical="center" wrapText="1"/>
      <protection/>
    </xf>
    <xf numFmtId="182" fontId="23" fillId="36" borderId="10" xfId="52" applyNumberFormat="1" applyFont="1" applyFill="1" applyBorder="1" applyAlignment="1" applyProtection="1">
      <alignment horizontal="right" vertical="center" wrapText="1"/>
      <protection/>
    </xf>
    <xf numFmtId="3" fontId="25" fillId="36" borderId="10" xfId="58" applyNumberFormat="1" applyFont="1" applyFill="1" applyBorder="1" applyAlignment="1">
      <alignment horizontal="right" vertical="center" wrapText="1"/>
      <protection/>
    </xf>
    <xf numFmtId="0" fontId="23" fillId="0" borderId="10" xfId="58" applyFont="1" applyFill="1" applyBorder="1" applyAlignment="1">
      <alignment horizontal="center" vertical="center" wrapText="1"/>
      <protection/>
    </xf>
    <xf numFmtId="0" fontId="26" fillId="36" borderId="10" xfId="58" applyFont="1" applyFill="1" applyBorder="1" applyAlignment="1">
      <alignment horizontal="justify" vertical="center" wrapText="1"/>
      <protection/>
    </xf>
    <xf numFmtId="3" fontId="23" fillId="36" borderId="10" xfId="58" applyNumberFormat="1" applyFont="1" applyFill="1" applyBorder="1" applyAlignment="1" applyProtection="1">
      <alignment horizontal="justify" vertical="center" wrapText="1"/>
      <protection/>
    </xf>
    <xf numFmtId="3" fontId="23" fillId="36" borderId="16" xfId="58" applyNumberFormat="1" applyFont="1" applyFill="1" applyBorder="1" applyAlignment="1" applyProtection="1">
      <alignment horizontal="justify" vertical="center" wrapText="1"/>
      <protection locked="0"/>
    </xf>
    <xf numFmtId="9" fontId="23" fillId="0" borderId="10" xfId="58" applyNumberFormat="1" applyFont="1" applyFill="1" applyBorder="1" applyAlignment="1">
      <alignment horizontal="justify" vertical="center" wrapText="1"/>
      <protection/>
    </xf>
    <xf numFmtId="0" fontId="23" fillId="0" borderId="16" xfId="58" applyFont="1" applyFill="1" applyBorder="1" applyAlignment="1">
      <alignment horizontal="justify" vertical="center" wrapText="1"/>
      <protection/>
    </xf>
    <xf numFmtId="3" fontId="23" fillId="36" borderId="10" xfId="0" applyNumberFormat="1" applyFont="1" applyFill="1" applyBorder="1" applyAlignment="1" applyProtection="1">
      <alignment horizontal="justify" vertical="center" wrapText="1"/>
      <protection locked="0"/>
    </xf>
    <xf numFmtId="3" fontId="23" fillId="36" borderId="10" xfId="58" applyNumberFormat="1" applyFont="1" applyFill="1" applyBorder="1" applyAlignment="1" applyProtection="1">
      <alignment horizontal="justify" vertical="center" wrapText="1"/>
      <protection locked="0"/>
    </xf>
    <xf numFmtId="1" fontId="23" fillId="0" borderId="10" xfId="58" applyNumberFormat="1" applyFont="1" applyFill="1" applyBorder="1" applyAlignment="1" applyProtection="1">
      <alignment horizontal="justify" vertical="center" wrapText="1"/>
      <protection locked="0"/>
    </xf>
    <xf numFmtId="0" fontId="23" fillId="36" borderId="16" xfId="58" applyFont="1" applyFill="1" applyBorder="1" applyAlignment="1">
      <alignment horizontal="justify" vertical="center" wrapText="1"/>
      <protection/>
    </xf>
    <xf numFmtId="0" fontId="23" fillId="40" borderId="17" xfId="58" applyFont="1" applyFill="1" applyBorder="1" applyAlignment="1">
      <alignment horizontal="justify" vertical="center" wrapText="1"/>
      <protection/>
    </xf>
    <xf numFmtId="0" fontId="23" fillId="0" borderId="10" xfId="58" applyFont="1" applyFill="1" applyBorder="1" applyAlignment="1">
      <alignment horizontal="justify" vertical="top" wrapText="1"/>
      <protection/>
    </xf>
    <xf numFmtId="3" fontId="23" fillId="0" borderId="10" xfId="58" applyNumberFormat="1" applyFont="1" applyFill="1" applyBorder="1" applyAlignment="1" applyProtection="1">
      <alignment horizontal="justify" vertical="center" wrapText="1"/>
      <protection/>
    </xf>
    <xf numFmtId="3" fontId="23" fillId="0" borderId="10" xfId="0" applyNumberFormat="1" applyFont="1" applyFill="1" applyBorder="1" applyAlignment="1" applyProtection="1">
      <alignment horizontal="justify" vertical="center" wrapText="1"/>
      <protection locked="0"/>
    </xf>
    <xf numFmtId="0" fontId="28" fillId="0" borderId="10" xfId="0" applyFont="1" applyFill="1" applyBorder="1" applyAlignment="1" applyProtection="1">
      <alignment horizontal="justify" vertical="center" wrapText="1"/>
      <protection locked="0"/>
    </xf>
    <xf numFmtId="3" fontId="23" fillId="0" borderId="10" xfId="58" applyNumberFormat="1" applyFont="1" applyFill="1" applyBorder="1" applyAlignment="1" applyProtection="1">
      <alignment horizontal="justify" vertical="center" wrapText="1"/>
      <protection locked="0"/>
    </xf>
    <xf numFmtId="3" fontId="23" fillId="0" borderId="10" xfId="58" applyNumberFormat="1" applyFont="1" applyFill="1" applyBorder="1" applyAlignment="1" applyProtection="1">
      <alignment horizontal="justify" vertical="center"/>
      <protection locked="0"/>
    </xf>
    <xf numFmtId="3" fontId="31" fillId="0" borderId="10" xfId="58" applyNumberFormat="1" applyFont="1" applyFill="1" applyBorder="1" applyAlignment="1" applyProtection="1">
      <alignment horizontal="right" vertical="center" wrapText="1"/>
      <protection/>
    </xf>
    <xf numFmtId="180" fontId="16" fillId="0" borderId="10" xfId="58" applyNumberFormat="1" applyFont="1" applyFill="1" applyBorder="1" applyAlignment="1" applyProtection="1">
      <alignment horizontal="right" vertical="center" wrapText="1"/>
      <protection/>
    </xf>
    <xf numFmtId="3" fontId="23" fillId="0" borderId="10" xfId="58" applyNumberFormat="1" applyFont="1" applyFill="1" applyBorder="1" applyAlignment="1">
      <alignment horizontal="right" vertical="center" wrapText="1"/>
      <protection/>
    </xf>
    <xf numFmtId="3" fontId="23" fillId="36" borderId="16" xfId="58" applyNumberFormat="1" applyFont="1" applyFill="1" applyBorder="1" applyAlignment="1" applyProtection="1">
      <alignment horizontal="justify" vertical="top" wrapText="1"/>
      <protection locked="0"/>
    </xf>
    <xf numFmtId="3" fontId="23" fillId="36" borderId="10" xfId="58" applyNumberFormat="1" applyFont="1" applyFill="1" applyBorder="1" applyAlignment="1" applyProtection="1">
      <alignment horizontal="justify" vertical="top" wrapText="1"/>
      <protection locked="0"/>
    </xf>
    <xf numFmtId="0" fontId="23" fillId="36" borderId="10" xfId="58" applyFont="1" applyFill="1" applyBorder="1" applyAlignment="1">
      <alignment horizontal="justify" vertical="top" wrapText="1"/>
      <protection/>
    </xf>
    <xf numFmtId="0" fontId="23" fillId="36" borderId="10" xfId="0" applyNumberFormat="1" applyFont="1" applyFill="1" applyBorder="1" applyAlignment="1" applyProtection="1">
      <alignment horizontal="justify" vertical="center" wrapText="1"/>
      <protection/>
    </xf>
    <xf numFmtId="0" fontId="23" fillId="36" borderId="10" xfId="0" applyNumberFormat="1" applyFont="1" applyFill="1" applyBorder="1" applyAlignment="1" applyProtection="1">
      <alignment horizontal="justify" vertical="top" wrapText="1"/>
      <protection/>
    </xf>
    <xf numFmtId="0" fontId="27" fillId="0" borderId="10" xfId="58" applyFont="1" applyFill="1" applyBorder="1" applyAlignment="1">
      <alignment horizontal="justify" vertical="center" wrapText="1"/>
      <protection/>
    </xf>
    <xf numFmtId="0" fontId="24" fillId="0" borderId="10" xfId="58" applyFont="1" applyFill="1" applyBorder="1" applyAlignment="1">
      <alignment horizontal="justify" vertical="center" wrapText="1"/>
      <protection/>
    </xf>
    <xf numFmtId="0" fontId="23" fillId="0" borderId="10" xfId="58" applyFont="1" applyFill="1" applyBorder="1" applyAlignment="1">
      <alignment horizontal="justify" vertical="center" wrapText="1"/>
      <protection/>
    </xf>
    <xf numFmtId="180" fontId="15" fillId="0" borderId="10" xfId="58" applyNumberFormat="1" applyFont="1" applyFill="1" applyBorder="1" applyAlignment="1" applyProtection="1">
      <alignment horizontal="right" vertical="center" wrapText="1"/>
      <protection/>
    </xf>
    <xf numFmtId="180" fontId="15" fillId="32" borderId="10" xfId="58" applyNumberFormat="1" applyFont="1" applyFill="1" applyBorder="1" applyAlignment="1" applyProtection="1">
      <alignment horizontal="right" vertical="center" wrapText="1"/>
      <protection/>
    </xf>
    <xf numFmtId="3" fontId="16" fillId="36" borderId="10" xfId="0" applyNumberFormat="1" applyFont="1" applyFill="1" applyBorder="1" applyAlignment="1" applyProtection="1">
      <alignment horizontal="right" vertical="center" wrapText="1"/>
      <protection locked="0"/>
    </xf>
    <xf numFmtId="3" fontId="16" fillId="36" borderId="10" xfId="0" applyNumberFormat="1" applyFont="1" applyFill="1" applyBorder="1" applyAlignment="1" applyProtection="1">
      <alignment horizontal="justify" vertical="center" wrapText="1"/>
      <protection locked="0"/>
    </xf>
    <xf numFmtId="3" fontId="16" fillId="0" borderId="10" xfId="58" applyNumberFormat="1" applyFont="1" applyFill="1" applyBorder="1" applyAlignment="1" applyProtection="1">
      <alignment horizontal="right" vertical="center"/>
      <protection locked="0"/>
    </xf>
    <xf numFmtId="3" fontId="22" fillId="0" borderId="10" xfId="58" applyNumberFormat="1" applyFont="1" applyFill="1" applyBorder="1" applyAlignment="1" applyProtection="1">
      <alignment horizontal="justify" vertical="center" wrapText="1"/>
      <protection locked="0"/>
    </xf>
    <xf numFmtId="3" fontId="16" fillId="0" borderId="10" xfId="58" applyNumberFormat="1" applyFont="1" applyFill="1" applyBorder="1" applyAlignment="1" applyProtection="1">
      <alignment horizontal="right" vertical="center" wrapText="1"/>
      <protection locked="0"/>
    </xf>
    <xf numFmtId="0" fontId="16" fillId="0" borderId="10" xfId="58" applyFont="1" applyFill="1" applyBorder="1" applyAlignment="1" applyProtection="1">
      <alignment horizontal="right" vertical="center"/>
      <protection locked="0"/>
    </xf>
    <xf numFmtId="0" fontId="16" fillId="0" borderId="10" xfId="58" applyFont="1" applyFill="1" applyBorder="1" applyAlignment="1" applyProtection="1">
      <alignment horizontal="center" vertical="center"/>
      <protection locked="0"/>
    </xf>
    <xf numFmtId="1" fontId="16" fillId="0" borderId="10" xfId="58" applyNumberFormat="1" applyFont="1" applyFill="1" applyBorder="1" applyAlignment="1" applyProtection="1">
      <alignment horizontal="center" vertical="center" wrapText="1"/>
      <protection locked="0"/>
    </xf>
    <xf numFmtId="0" fontId="32" fillId="0" borderId="0" xfId="0" applyFont="1" applyAlignment="1">
      <alignment wrapText="1"/>
    </xf>
    <xf numFmtId="0" fontId="34" fillId="0" borderId="0" xfId="0" applyFont="1" applyAlignment="1">
      <alignment horizontal="center"/>
    </xf>
    <xf numFmtId="0" fontId="35"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9" fillId="0" borderId="0" xfId="0" applyFont="1" applyAlignment="1">
      <alignment horizontal="center"/>
    </xf>
    <xf numFmtId="0" fontId="38" fillId="0" borderId="0" xfId="0" applyFont="1" applyAlignment="1">
      <alignment/>
    </xf>
    <xf numFmtId="0" fontId="9" fillId="0" borderId="0" xfId="0" applyFont="1" applyAlignment="1">
      <alignment/>
    </xf>
    <xf numFmtId="0" fontId="39" fillId="0" borderId="0" xfId="0" applyFont="1" applyBorder="1" applyAlignment="1">
      <alignment horizontal="right" vertical="center"/>
    </xf>
    <xf numFmtId="0" fontId="5" fillId="0" borderId="0" xfId="0" applyFont="1" applyBorder="1" applyAlignment="1">
      <alignment vertical="center"/>
    </xf>
    <xf numFmtId="0" fontId="40" fillId="0" borderId="18" xfId="0" applyFont="1" applyBorder="1" applyAlignment="1">
      <alignment horizontal="center" vertical="center"/>
    </xf>
    <xf numFmtId="1" fontId="40" fillId="0" borderId="19" xfId="0" applyNumberFormat="1" applyFont="1" applyBorder="1" applyAlignment="1">
      <alignment horizontal="center" vertical="center" wrapText="1"/>
    </xf>
    <xf numFmtId="1" fontId="40" fillId="0" borderId="20" xfId="0" applyNumberFormat="1" applyFont="1" applyBorder="1" applyAlignment="1">
      <alignment horizontal="center" vertical="center" wrapText="1"/>
    </xf>
    <xf numFmtId="1" fontId="40" fillId="0" borderId="21" xfId="0" applyNumberFormat="1" applyFont="1" applyBorder="1" applyAlignment="1">
      <alignment horizontal="center" vertical="center" wrapText="1"/>
    </xf>
    <xf numFmtId="0" fontId="41" fillId="0" borderId="18" xfId="0" applyFont="1" applyBorder="1" applyAlignment="1">
      <alignment horizontal="center" vertical="center"/>
    </xf>
    <xf numFmtId="0" fontId="40" fillId="0" borderId="22" xfId="0" applyFont="1" applyBorder="1" applyAlignment="1">
      <alignment horizontal="center" vertical="center"/>
    </xf>
    <xf numFmtId="3" fontId="42" fillId="0" borderId="23" xfId="0" applyNumberFormat="1" applyFont="1" applyFill="1" applyBorder="1" applyAlignment="1">
      <alignment horizontal="center" vertical="center"/>
    </xf>
    <xf numFmtId="3" fontId="42" fillId="0" borderId="24" xfId="0" applyNumberFormat="1" applyFont="1" applyFill="1" applyBorder="1" applyAlignment="1">
      <alignment horizontal="center" vertical="center"/>
    </xf>
    <xf numFmtId="3" fontId="41" fillId="0" borderId="25" xfId="0" applyNumberFormat="1" applyFont="1" applyBorder="1" applyAlignment="1">
      <alignment horizontal="center" vertical="center" wrapText="1"/>
    </xf>
    <xf numFmtId="3" fontId="0" fillId="0" borderId="0" xfId="0" applyNumberFormat="1" applyAlignment="1">
      <alignment/>
    </xf>
    <xf numFmtId="1" fontId="2" fillId="0" borderId="0" xfId="0" applyNumberFormat="1" applyFont="1" applyAlignment="1">
      <alignment horizontal="center" vertical="center" wrapText="1"/>
    </xf>
    <xf numFmtId="0" fontId="41" fillId="0" borderId="22" xfId="0" applyFont="1" applyBorder="1" applyAlignment="1">
      <alignment horizontal="center" vertical="center"/>
    </xf>
    <xf numFmtId="0" fontId="2" fillId="0" borderId="0" xfId="0" applyFont="1" applyAlignment="1">
      <alignment horizontal="center" vertical="center" wrapText="1"/>
    </xf>
    <xf numFmtId="0" fontId="7" fillId="0" borderId="0" xfId="0" applyFont="1" applyBorder="1" applyAlignment="1">
      <alignment vertical="center"/>
    </xf>
    <xf numFmtId="0" fontId="40" fillId="0" borderId="26" xfId="0" applyFont="1" applyBorder="1" applyAlignment="1">
      <alignment horizontal="center" vertical="center"/>
    </xf>
    <xf numFmtId="3" fontId="42" fillId="0" borderId="25" xfId="0" applyNumberFormat="1" applyFont="1" applyFill="1" applyBorder="1" applyAlignment="1">
      <alignment horizontal="center" vertical="center"/>
    </xf>
    <xf numFmtId="3" fontId="41" fillId="0" borderId="27" xfId="0" applyNumberFormat="1" applyFont="1" applyBorder="1" applyAlignment="1">
      <alignment horizontal="center" vertical="center" wrapText="1"/>
    </xf>
    <xf numFmtId="0" fontId="11" fillId="0" borderId="0" xfId="0" applyFont="1" applyAlignment="1">
      <alignment/>
    </xf>
    <xf numFmtId="0" fontId="39" fillId="0" borderId="0" xfId="0" applyFont="1" applyBorder="1" applyAlignment="1">
      <alignment vertical="center"/>
    </xf>
    <xf numFmtId="0" fontId="5" fillId="0" borderId="25" xfId="0" applyFont="1" applyBorder="1" applyAlignment="1">
      <alignment horizontal="center" vertical="center"/>
    </xf>
    <xf numFmtId="0" fontId="40" fillId="0" borderId="28" xfId="0" applyFont="1" applyBorder="1" applyAlignment="1">
      <alignment horizontal="center" vertical="center"/>
    </xf>
    <xf numFmtId="3" fontId="42" fillId="0" borderId="29" xfId="0" applyNumberFormat="1" applyFont="1" applyFill="1" applyBorder="1" applyAlignment="1">
      <alignment horizontal="center" vertical="center"/>
    </xf>
    <xf numFmtId="0" fontId="8" fillId="0" borderId="0" xfId="0" applyFont="1" applyAlignment="1">
      <alignment/>
    </xf>
    <xf numFmtId="0" fontId="40" fillId="0" borderId="30" xfId="0" applyFont="1" applyBorder="1" applyAlignment="1">
      <alignment horizontal="center" vertical="center"/>
    </xf>
    <xf numFmtId="3" fontId="42" fillId="0" borderId="31" xfId="0" applyNumberFormat="1" applyFont="1" applyFill="1" applyBorder="1" applyAlignment="1">
      <alignment horizontal="center" vertical="center"/>
    </xf>
    <xf numFmtId="0" fontId="40" fillId="0" borderId="32" xfId="0" applyFont="1" applyBorder="1" applyAlignment="1">
      <alignment horizontal="center" vertical="center"/>
    </xf>
    <xf numFmtId="3" fontId="42" fillId="0" borderId="33" xfId="0" applyNumberFormat="1" applyFont="1" applyFill="1" applyBorder="1" applyAlignment="1">
      <alignment horizontal="center" vertical="center"/>
    </xf>
    <xf numFmtId="0" fontId="5" fillId="0" borderId="18" xfId="0" applyFont="1" applyBorder="1" applyAlignment="1">
      <alignment horizontal="center" vertical="center"/>
    </xf>
    <xf numFmtId="3" fontId="42" fillId="0" borderId="34" xfId="0" applyNumberFormat="1" applyFont="1" applyFill="1" applyBorder="1" applyAlignment="1">
      <alignment horizontal="center" vertical="center"/>
    </xf>
    <xf numFmtId="0" fontId="42" fillId="0" borderId="35" xfId="0" applyFont="1" applyBorder="1" applyAlignment="1">
      <alignment horizontal="left" vertical="center"/>
    </xf>
    <xf numFmtId="0" fontId="0" fillId="0" borderId="36" xfId="0" applyBorder="1" applyAlignment="1">
      <alignment/>
    </xf>
    <xf numFmtId="3" fontId="42" fillId="0" borderId="37" xfId="0" applyNumberFormat="1" applyFont="1" applyFill="1" applyBorder="1" applyAlignment="1">
      <alignment horizontal="center" vertical="center"/>
    </xf>
    <xf numFmtId="0" fontId="42" fillId="0" borderId="11" xfId="0" applyFont="1" applyBorder="1" applyAlignment="1">
      <alignment horizontal="left" vertical="center"/>
    </xf>
    <xf numFmtId="0" fontId="0" fillId="0" borderId="38" xfId="0" applyBorder="1" applyAlignment="1">
      <alignment/>
    </xf>
    <xf numFmtId="3" fontId="42" fillId="0" borderId="39" xfId="0" applyNumberFormat="1" applyFont="1" applyFill="1" applyBorder="1" applyAlignment="1">
      <alignment horizontal="center" vertical="center"/>
    </xf>
    <xf numFmtId="0" fontId="42" fillId="0" borderId="40" xfId="0" applyFont="1" applyBorder="1" applyAlignment="1">
      <alignment horizontal="left" vertical="center"/>
    </xf>
    <xf numFmtId="0" fontId="0" fillId="0" borderId="41" xfId="0" applyBorder="1" applyAlignment="1">
      <alignment/>
    </xf>
    <xf numFmtId="0" fontId="3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1" fontId="40" fillId="0" borderId="0" xfId="0" applyNumberFormat="1" applyFont="1" applyBorder="1" applyAlignment="1">
      <alignment horizontal="center" vertical="center" wrapText="1"/>
    </xf>
    <xf numFmtId="0" fontId="7" fillId="36" borderId="10" xfId="0" applyFont="1" applyFill="1" applyBorder="1" applyAlignment="1">
      <alignment horizontal="center" vertical="center"/>
    </xf>
    <xf numFmtId="3" fontId="40" fillId="36" borderId="10" xfId="0" applyNumberFormat="1" applyFont="1" applyFill="1" applyBorder="1" applyAlignment="1">
      <alignment horizontal="center" vertical="center"/>
    </xf>
    <xf numFmtId="1" fontId="40" fillId="36" borderId="0"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0" fillId="0" borderId="0" xfId="0" applyFill="1" applyBorder="1" applyAlignment="1">
      <alignment/>
    </xf>
    <xf numFmtId="0" fontId="37" fillId="36" borderId="0" xfId="0" applyFont="1" applyFill="1" applyAlignment="1">
      <alignment/>
    </xf>
    <xf numFmtId="0" fontId="0" fillId="36" borderId="0" xfId="0" applyFill="1" applyAlignment="1">
      <alignment/>
    </xf>
    <xf numFmtId="0" fontId="7" fillId="36" borderId="10" xfId="0" applyFont="1" applyFill="1" applyBorder="1" applyAlignment="1">
      <alignment horizontal="center" vertical="center" wrapText="1"/>
    </xf>
    <xf numFmtId="3" fontId="44" fillId="0" borderId="0" xfId="0" applyNumberFormat="1" applyFont="1" applyAlignment="1">
      <alignment vertical="top"/>
    </xf>
    <xf numFmtId="0" fontId="16" fillId="32" borderId="10" xfId="58" applyFont="1" applyFill="1" applyBorder="1" applyAlignment="1" applyProtection="1">
      <alignment horizontal="justify" vertical="center"/>
      <protection/>
    </xf>
    <xf numFmtId="3" fontId="16" fillId="32" borderId="10" xfId="58" applyNumberFormat="1" applyFont="1" applyFill="1" applyBorder="1" applyAlignment="1" applyProtection="1">
      <alignment horizontal="right" vertical="center"/>
      <protection/>
    </xf>
    <xf numFmtId="0" fontId="16" fillId="32" borderId="10" xfId="58" applyFont="1" applyFill="1" applyBorder="1" applyAlignment="1" applyProtection="1">
      <alignment horizontal="justify" vertical="center" wrapText="1"/>
      <protection/>
    </xf>
    <xf numFmtId="3" fontId="16" fillId="32" borderId="10" xfId="58" applyNumberFormat="1" applyFont="1" applyFill="1" applyBorder="1" applyAlignment="1" applyProtection="1">
      <alignment horizontal="right" vertical="center" wrapText="1"/>
      <protection/>
    </xf>
    <xf numFmtId="0" fontId="20" fillId="0" borderId="0" xfId="58" applyFont="1" applyBorder="1" applyAlignment="1" applyProtection="1">
      <alignment horizontal="center" vertical="top"/>
      <protection/>
    </xf>
    <xf numFmtId="215" fontId="0" fillId="0" borderId="0" xfId="50" applyNumberFormat="1" applyFont="1" applyBorder="1" applyAlignment="1">
      <alignment/>
    </xf>
    <xf numFmtId="215" fontId="0" fillId="0" borderId="0" xfId="50" applyNumberFormat="1" applyFont="1" applyAlignment="1">
      <alignment/>
    </xf>
    <xf numFmtId="0" fontId="43" fillId="0" borderId="0" xfId="0" applyFont="1" applyAlignment="1">
      <alignment horizontal="left"/>
    </xf>
    <xf numFmtId="0" fontId="7" fillId="36" borderId="0" xfId="0" applyFont="1" applyFill="1" applyBorder="1" applyAlignment="1">
      <alignment horizontal="center" vertical="center"/>
    </xf>
    <xf numFmtId="3" fontId="40" fillId="36" borderId="0" xfId="0" applyNumberFormat="1" applyFont="1" applyFill="1" applyBorder="1" applyAlignment="1">
      <alignment horizontal="center" vertical="center"/>
    </xf>
    <xf numFmtId="1" fontId="40" fillId="36" borderId="10" xfId="0" applyNumberFormat="1" applyFont="1" applyFill="1" applyBorder="1" applyAlignment="1">
      <alignment horizontal="center" vertical="center" wrapText="1"/>
    </xf>
    <xf numFmtId="3" fontId="26" fillId="0" borderId="10" xfId="0" applyNumberFormat="1" applyFont="1" applyFill="1" applyBorder="1" applyAlignment="1">
      <alignment horizontal="center"/>
    </xf>
    <xf numFmtId="0" fontId="0" fillId="36" borderId="0" xfId="0" applyFill="1" applyBorder="1" applyAlignment="1">
      <alignment/>
    </xf>
    <xf numFmtId="0" fontId="8" fillId="36" borderId="0" xfId="0" applyFont="1" applyFill="1" applyAlignment="1">
      <alignment/>
    </xf>
    <xf numFmtId="3" fontId="8" fillId="36" borderId="0" xfId="0" applyNumberFormat="1" applyFont="1" applyFill="1" applyAlignment="1">
      <alignment/>
    </xf>
    <xf numFmtId="3" fontId="15" fillId="33" borderId="42" xfId="58" applyNumberFormat="1" applyFont="1" applyFill="1" applyBorder="1" applyAlignment="1" applyProtection="1">
      <alignment vertical="center"/>
      <protection/>
    </xf>
    <xf numFmtId="9" fontId="16" fillId="0" borderId="10" xfId="60" applyFont="1" applyFill="1" applyBorder="1" applyAlignment="1" applyProtection="1">
      <alignment horizontal="right" vertical="center" wrapText="1"/>
      <protection/>
    </xf>
    <xf numFmtId="9" fontId="15" fillId="32" borderId="16" xfId="60" applyFont="1" applyFill="1" applyBorder="1" applyAlignment="1" applyProtection="1">
      <alignment vertical="center"/>
      <protection/>
    </xf>
    <xf numFmtId="3" fontId="15" fillId="32" borderId="43" xfId="58" applyNumberFormat="1" applyFont="1" applyFill="1" applyBorder="1" applyAlignment="1" applyProtection="1">
      <alignment vertical="center"/>
      <protection/>
    </xf>
    <xf numFmtId="9" fontId="15" fillId="32" borderId="10" xfId="60" applyFont="1" applyFill="1" applyBorder="1" applyAlignment="1" applyProtection="1">
      <alignment vertical="center" wrapText="1"/>
      <protection/>
    </xf>
    <xf numFmtId="9" fontId="15" fillId="32" borderId="16" xfId="60" applyFont="1" applyFill="1" applyBorder="1" applyAlignment="1" applyProtection="1">
      <alignment vertical="center" wrapText="1"/>
      <protection/>
    </xf>
    <xf numFmtId="3" fontId="15" fillId="32" borderId="43" xfId="58" applyNumberFormat="1" applyFont="1" applyFill="1" applyBorder="1" applyAlignment="1" applyProtection="1">
      <alignment vertical="center" wrapText="1"/>
      <protection/>
    </xf>
    <xf numFmtId="3" fontId="15" fillId="37" borderId="43" xfId="58" applyNumberFormat="1" applyFont="1" applyFill="1" applyBorder="1" applyAlignment="1" applyProtection="1">
      <alignment vertical="center" wrapText="1"/>
      <protection/>
    </xf>
    <xf numFmtId="9" fontId="15" fillId="38" borderId="10" xfId="60" applyFont="1" applyFill="1" applyBorder="1" applyAlignment="1" applyProtection="1">
      <alignment vertical="center" wrapText="1"/>
      <protection/>
    </xf>
    <xf numFmtId="9" fontId="15" fillId="38" borderId="16" xfId="60" applyFont="1" applyFill="1" applyBorder="1" applyAlignment="1" applyProtection="1">
      <alignment vertical="center" wrapText="1"/>
      <protection/>
    </xf>
    <xf numFmtId="9" fontId="15" fillId="37" borderId="16" xfId="60" applyFont="1" applyFill="1" applyBorder="1" applyAlignment="1" applyProtection="1">
      <alignment vertical="center" wrapText="1"/>
      <protection/>
    </xf>
    <xf numFmtId="180" fontId="16" fillId="0" borderId="10" xfId="58" applyNumberFormat="1" applyFont="1" applyFill="1" applyBorder="1" applyAlignment="1" applyProtection="1">
      <alignment horizontal="right" vertical="center" wrapText="1"/>
      <protection locked="0"/>
    </xf>
    <xf numFmtId="3" fontId="17" fillId="41" borderId="16" xfId="58" applyNumberFormat="1" applyFont="1" applyFill="1" applyBorder="1" applyAlignment="1" applyProtection="1">
      <alignment horizontal="center" vertical="center"/>
      <protection/>
    </xf>
    <xf numFmtId="3" fontId="15" fillId="32" borderId="43" xfId="58" applyNumberFormat="1" applyFont="1" applyFill="1" applyBorder="1" applyAlignment="1" applyProtection="1">
      <alignment horizontal="center" vertical="center" wrapText="1"/>
      <protection/>
    </xf>
    <xf numFmtId="3" fontId="15" fillId="32" borderId="43" xfId="58" applyNumberFormat="1" applyFont="1" applyFill="1" applyBorder="1" applyAlignment="1" applyProtection="1">
      <alignment horizontal="right" vertical="center" wrapText="1"/>
      <protection/>
    </xf>
    <xf numFmtId="3" fontId="15" fillId="32" borderId="10" xfId="0" applyNumberFormat="1" applyFont="1" applyFill="1" applyBorder="1" applyAlignment="1" applyProtection="1">
      <alignment horizontal="center" vertical="center" wrapText="1"/>
      <protection/>
    </xf>
    <xf numFmtId="180" fontId="16" fillId="0" borderId="16" xfId="58" applyNumberFormat="1" applyFont="1" applyFill="1" applyBorder="1" applyAlignment="1" applyProtection="1">
      <alignment horizontal="right" vertical="center" wrapText="1"/>
      <protection/>
    </xf>
    <xf numFmtId="180" fontId="16" fillId="0" borderId="17" xfId="58" applyNumberFormat="1" applyFont="1" applyFill="1" applyBorder="1" applyAlignment="1" applyProtection="1">
      <alignment horizontal="right" vertical="center" wrapText="1"/>
      <protection/>
    </xf>
    <xf numFmtId="0" fontId="33" fillId="0" borderId="0" xfId="0" applyFont="1" applyBorder="1" applyAlignment="1">
      <alignment horizontal="center" wrapText="1"/>
    </xf>
    <xf numFmtId="0" fontId="4" fillId="0" borderId="0" xfId="0" applyFont="1" applyAlignment="1">
      <alignment horizontal="left"/>
    </xf>
    <xf numFmtId="0" fontId="5" fillId="0" borderId="0" xfId="0" applyFont="1" applyAlignment="1">
      <alignment horizontal="left"/>
    </xf>
    <xf numFmtId="0" fontId="2" fillId="0" borderId="0" xfId="0" applyFont="1" applyAlignment="1">
      <alignment horizontal="justify" vertical="center" wrapText="1"/>
    </xf>
    <xf numFmtId="0" fontId="9" fillId="0" borderId="0" xfId="0" applyFont="1" applyAlignment="1">
      <alignment horizontal="justify" vertical="center" wrapText="1"/>
    </xf>
    <xf numFmtId="0" fontId="0" fillId="0" borderId="0" xfId="0" applyAlignment="1">
      <alignment horizontal="center"/>
    </xf>
    <xf numFmtId="0" fontId="0" fillId="0" borderId="44" xfId="0" applyBorder="1" applyAlignment="1">
      <alignment horizontal="left" vertical="center" wrapText="1"/>
    </xf>
    <xf numFmtId="0" fontId="0" fillId="0" borderId="44" xfId="0" applyBorder="1" applyAlignment="1">
      <alignment horizontal="center" vertical="center" wrapText="1"/>
    </xf>
    <xf numFmtId="0" fontId="7"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34" fillId="0" borderId="0" xfId="0" applyFont="1" applyAlignment="1">
      <alignment horizontal="center"/>
    </xf>
    <xf numFmtId="3" fontId="42" fillId="0" borderId="48" xfId="0" applyNumberFormat="1" applyFont="1" applyFill="1" applyBorder="1" applyAlignment="1">
      <alignment horizontal="center" vertical="center"/>
    </xf>
    <xf numFmtId="3" fontId="42" fillId="0" borderId="17" xfId="0" applyNumberFormat="1" applyFont="1" applyFill="1" applyBorder="1" applyAlignment="1">
      <alignment horizontal="center" vertical="center"/>
    </xf>
    <xf numFmtId="3" fontId="42" fillId="0" borderId="49" xfId="0" applyNumberFormat="1" applyFont="1" applyFill="1" applyBorder="1" applyAlignment="1">
      <alignment horizontal="center" vertical="center"/>
    </xf>
    <xf numFmtId="3" fontId="42" fillId="0" borderId="10" xfId="0" applyNumberFormat="1" applyFont="1" applyFill="1" applyBorder="1" applyAlignment="1">
      <alignment horizontal="center" vertical="center"/>
    </xf>
    <xf numFmtId="3" fontId="42" fillId="0" borderId="50" xfId="0" applyNumberFormat="1" applyFont="1" applyFill="1" applyBorder="1" applyAlignment="1">
      <alignment horizontal="center" vertical="center"/>
    </xf>
    <xf numFmtId="3" fontId="42" fillId="0" borderId="51" xfId="0" applyNumberFormat="1"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15" fillId="32" borderId="10" xfId="0" applyNumberFormat="1" applyFont="1" applyFill="1" applyBorder="1" applyAlignment="1" applyProtection="1">
      <alignment horizontal="center" vertical="center" wrapText="1"/>
      <protection/>
    </xf>
    <xf numFmtId="3" fontId="15" fillId="32" borderId="12" xfId="0" applyNumberFormat="1" applyFont="1" applyFill="1" applyBorder="1" applyAlignment="1" applyProtection="1">
      <alignment horizontal="center" vertical="center" wrapText="1"/>
      <protection/>
    </xf>
    <xf numFmtId="3" fontId="15" fillId="32" borderId="11" xfId="0" applyNumberFormat="1" applyFont="1" applyFill="1" applyBorder="1" applyAlignment="1" applyProtection="1">
      <alignment horizontal="center" vertical="center" wrapText="1"/>
      <protection/>
    </xf>
    <xf numFmtId="3" fontId="15" fillId="32" borderId="13" xfId="0" applyNumberFormat="1" applyFont="1" applyFill="1" applyBorder="1" applyAlignment="1" applyProtection="1">
      <alignment horizontal="center" vertical="center" wrapText="1"/>
      <protection/>
    </xf>
    <xf numFmtId="3" fontId="15" fillId="32" borderId="10" xfId="0" applyNumberFormat="1" applyFont="1" applyFill="1" applyBorder="1" applyAlignment="1">
      <alignment horizontal="center" vertical="center" wrapText="1"/>
    </xf>
    <xf numFmtId="3" fontId="15" fillId="32" borderId="10" xfId="58" applyNumberFormat="1" applyFont="1" applyFill="1" applyBorder="1" applyAlignment="1" applyProtection="1">
      <alignment horizontal="center" vertical="center" wrapText="1"/>
      <protection/>
    </xf>
    <xf numFmtId="3" fontId="17" fillId="42" borderId="18" xfId="0" applyNumberFormat="1" applyFont="1" applyFill="1" applyBorder="1" applyAlignment="1" applyProtection="1">
      <alignment horizontal="center" vertical="center" wrapText="1"/>
      <protection/>
    </xf>
    <xf numFmtId="3" fontId="17" fillId="43" borderId="45" xfId="0" applyNumberFormat="1" applyFont="1" applyFill="1" applyBorder="1" applyAlignment="1" applyProtection="1">
      <alignment horizontal="center" vertical="center" wrapText="1"/>
      <protection/>
    </xf>
    <xf numFmtId="3" fontId="17" fillId="43" borderId="52" xfId="0" applyNumberFormat="1" applyFont="1" applyFill="1" applyBorder="1" applyAlignment="1" applyProtection="1">
      <alignment horizontal="center" vertical="center" wrapText="1"/>
      <protection/>
    </xf>
    <xf numFmtId="3" fontId="17" fillId="43" borderId="53" xfId="0" applyNumberFormat="1" applyFont="1" applyFill="1" applyBorder="1" applyAlignment="1" applyProtection="1">
      <alignment horizontal="center" vertical="center" wrapText="1"/>
      <protection/>
    </xf>
    <xf numFmtId="3" fontId="16" fillId="0" borderId="16" xfId="58" applyNumberFormat="1" applyFont="1" applyFill="1" applyBorder="1" applyAlignment="1" applyProtection="1">
      <alignment horizontal="right" vertical="center" wrapText="1"/>
      <protection/>
    </xf>
    <xf numFmtId="3" fontId="16" fillId="0" borderId="17" xfId="58" applyNumberFormat="1" applyFont="1" applyFill="1" applyBorder="1" applyAlignment="1" applyProtection="1">
      <alignment horizontal="right" vertical="center" wrapText="1"/>
      <protection/>
    </xf>
    <xf numFmtId="0" fontId="20" fillId="0" borderId="0" xfId="58" applyFont="1" applyBorder="1" applyAlignment="1" applyProtection="1">
      <alignment horizontal="center" vertical="top"/>
      <protection/>
    </xf>
    <xf numFmtId="0" fontId="16" fillId="0" borderId="10" xfId="58" applyFont="1" applyFill="1" applyBorder="1" applyAlignment="1" applyProtection="1">
      <alignment horizontal="left" vertical="center" wrapText="1"/>
      <protection/>
    </xf>
    <xf numFmtId="3" fontId="16" fillId="0" borderId="10" xfId="58" applyNumberFormat="1" applyFont="1" applyFill="1" applyBorder="1" applyAlignment="1" applyProtection="1">
      <alignment horizontal="right" vertical="center" wrapText="1"/>
      <protection/>
    </xf>
    <xf numFmtId="3" fontId="17" fillId="44" borderId="54" xfId="58" applyNumberFormat="1" applyFont="1" applyFill="1" applyBorder="1" applyAlignment="1" applyProtection="1">
      <alignment horizontal="center" vertical="center"/>
      <protection/>
    </xf>
    <xf numFmtId="3" fontId="17" fillId="44" borderId="42" xfId="58" applyNumberFormat="1" applyFont="1" applyFill="1" applyBorder="1" applyAlignment="1" applyProtection="1">
      <alignment horizontal="center" vertical="center"/>
      <protection/>
    </xf>
    <xf numFmtId="3" fontId="17" fillId="45" borderId="54" xfId="58" applyNumberFormat="1" applyFont="1" applyFill="1" applyBorder="1" applyAlignment="1" applyProtection="1">
      <alignment horizontal="center" vertical="center"/>
      <protection/>
    </xf>
    <xf numFmtId="3" fontId="17" fillId="45" borderId="42" xfId="58" applyNumberFormat="1" applyFont="1" applyFill="1" applyBorder="1" applyAlignment="1" applyProtection="1">
      <alignment horizontal="center" vertical="center"/>
      <protection/>
    </xf>
    <xf numFmtId="3" fontId="15" fillId="32" borderId="12" xfId="58" applyNumberFormat="1" applyFont="1" applyFill="1" applyBorder="1" applyAlignment="1" applyProtection="1">
      <alignment horizontal="left" vertical="center" wrapText="1"/>
      <protection/>
    </xf>
    <xf numFmtId="3" fontId="15" fillId="32" borderId="11" xfId="58" applyNumberFormat="1" applyFont="1" applyFill="1" applyBorder="1" applyAlignment="1" applyProtection="1">
      <alignment horizontal="left" vertical="center" wrapText="1"/>
      <protection/>
    </xf>
    <xf numFmtId="3" fontId="15" fillId="32" borderId="13" xfId="58" applyNumberFormat="1" applyFont="1" applyFill="1" applyBorder="1" applyAlignment="1" applyProtection="1">
      <alignment horizontal="left" vertical="center" wrapText="1"/>
      <protection/>
    </xf>
    <xf numFmtId="0" fontId="16" fillId="0" borderId="10" xfId="58" applyFont="1" applyFill="1" applyBorder="1" applyAlignment="1" applyProtection="1">
      <alignment horizontal="center" vertical="center" wrapText="1"/>
      <protection/>
    </xf>
    <xf numFmtId="3" fontId="16" fillId="0" borderId="10" xfId="58" applyNumberFormat="1" applyFont="1" applyFill="1" applyBorder="1" applyAlignment="1" applyProtection="1">
      <alignment horizontal="left" vertical="center" wrapText="1"/>
      <protection/>
    </xf>
    <xf numFmtId="180" fontId="16" fillId="0" borderId="10" xfId="58" applyNumberFormat="1" applyFont="1" applyFill="1" applyBorder="1" applyAlignment="1" applyProtection="1">
      <alignment vertical="center" wrapText="1"/>
      <protection/>
    </xf>
    <xf numFmtId="0" fontId="16" fillId="0" borderId="16" xfId="58" applyFont="1" applyFill="1" applyBorder="1" applyAlignment="1" applyProtection="1">
      <alignment horizontal="center" vertical="center" wrapText="1"/>
      <protection/>
    </xf>
    <xf numFmtId="0" fontId="16" fillId="0" borderId="17" xfId="58" applyFont="1" applyFill="1" applyBorder="1" applyAlignment="1" applyProtection="1">
      <alignment horizontal="center" vertical="center" wrapText="1"/>
      <protection/>
    </xf>
    <xf numFmtId="0" fontId="16" fillId="0" borderId="10" xfId="58" applyFont="1" applyFill="1" applyBorder="1" applyAlignment="1" applyProtection="1">
      <alignment vertical="center" wrapText="1"/>
      <protection/>
    </xf>
    <xf numFmtId="3" fontId="15" fillId="32" borderId="10" xfId="58" applyNumberFormat="1" applyFont="1" applyFill="1" applyBorder="1" applyAlignment="1" applyProtection="1">
      <alignment horizontal="left" vertical="center" wrapText="1"/>
      <protection/>
    </xf>
    <xf numFmtId="3" fontId="17" fillId="41" borderId="18" xfId="0" applyNumberFormat="1" applyFont="1" applyFill="1" applyBorder="1" applyAlignment="1">
      <alignment horizontal="center" vertical="center" wrapText="1"/>
    </xf>
    <xf numFmtId="0" fontId="45" fillId="41" borderId="18" xfId="0" applyFont="1" applyFill="1" applyBorder="1" applyAlignment="1">
      <alignment vertical="center" wrapText="1"/>
    </xf>
    <xf numFmtId="0" fontId="16" fillId="0" borderId="10" xfId="58" applyFont="1" applyFill="1" applyBorder="1" applyAlignment="1" applyProtection="1">
      <alignment horizontal="justify" vertical="center" wrapText="1"/>
      <protection/>
    </xf>
    <xf numFmtId="0" fontId="15" fillId="0" borderId="10" xfId="58" applyFont="1" applyFill="1" applyBorder="1" applyAlignment="1" applyProtection="1">
      <alignment horizontal="left" vertical="center" wrapText="1"/>
      <protection/>
    </xf>
    <xf numFmtId="0" fontId="5" fillId="0" borderId="55" xfId="0" applyFont="1" applyBorder="1" applyAlignment="1">
      <alignment horizontal="left"/>
    </xf>
    <xf numFmtId="0" fontId="5" fillId="0" borderId="56" xfId="0" applyFont="1" applyBorder="1" applyAlignment="1">
      <alignment horizontal="left"/>
    </xf>
    <xf numFmtId="0" fontId="5" fillId="0" borderId="57" xfId="0" applyFont="1" applyBorder="1" applyAlignment="1">
      <alignment horizontal="left"/>
    </xf>
    <xf numFmtId="0" fontId="2" fillId="0" borderId="1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4" xfId="0" applyFont="1" applyBorder="1" applyAlignment="1">
      <alignment horizontal="justify" vertical="top" wrapText="1"/>
    </xf>
    <xf numFmtId="0" fontId="2" fillId="0" borderId="0" xfId="0" applyFont="1" applyBorder="1" applyAlignment="1">
      <alignment horizontal="justify" vertical="top" wrapText="1"/>
    </xf>
    <xf numFmtId="0" fontId="2" fillId="0" borderId="15" xfId="0" applyFont="1" applyBorder="1" applyAlignment="1">
      <alignment horizontal="justify" vertical="top" wrapText="1"/>
    </xf>
    <xf numFmtId="0" fontId="2" fillId="0" borderId="58" xfId="0" applyFont="1" applyBorder="1" applyAlignment="1">
      <alignment horizontal="justify" vertical="top" wrapText="1"/>
    </xf>
    <xf numFmtId="0" fontId="2" fillId="0" borderId="59" xfId="0" applyFont="1" applyBorder="1" applyAlignment="1">
      <alignment horizontal="justify" vertical="top" wrapText="1"/>
    </xf>
    <xf numFmtId="0" fontId="2" fillId="0" borderId="60" xfId="0" applyFont="1" applyBorder="1" applyAlignment="1">
      <alignment horizontal="justify"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3" xfId="52"/>
    <cellStyle name="Currency" xfId="53"/>
    <cellStyle name="Currency [0]" xfId="54"/>
    <cellStyle name="Neutral" xfId="55"/>
    <cellStyle name="Normal 3" xfId="56"/>
    <cellStyle name="Normal_Información Infancia y Adolescencia Presupuesto 2009 SED -Oct-24-2008 (2) MODIFICADO aLEJO" xfId="57"/>
    <cellStyle name="Normal_Informe  infancia y adolescencia 3trim VERSIÓN OCTUBRE 29" xfId="58"/>
    <cellStyle name="Notas" xfId="59"/>
    <cellStyle name="Percent"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Caracterizaci&#243;n!A1" /><Relationship Id="rId3" Type="http://schemas.openxmlformats.org/officeDocument/2006/relationships/hyperlink" Target="#'Proyecciones NNA'!A1" /><Relationship Id="rId4" Type="http://schemas.openxmlformats.org/officeDocument/2006/relationships/hyperlink" Target="#'Presupuesto rv'!A1" /></Relationships>
</file>

<file path=xl/drawings/_rels/drawing2.xml.rels><?xml version="1.0" encoding="utf-8" standalone="yes"?><Relationships xmlns="http://schemas.openxmlformats.org/package/2006/relationships"><Relationship Id="rId1" Type="http://schemas.openxmlformats.org/officeDocument/2006/relationships/hyperlink" Target="#'Pag inicio'!A1"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Pag inicio'!A1"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hyperlink" Target="#'Presupuesto rv'!B7" /><Relationship Id="rId2" Type="http://schemas.openxmlformats.org/officeDocument/2006/relationships/hyperlink" Target="#'Presupuesto rv'!B69" /><Relationship Id="rId3" Type="http://schemas.openxmlformats.org/officeDocument/2006/relationships/hyperlink" Target="#'Presupuesto rv'!B23" /><Relationship Id="rId4" Type="http://schemas.openxmlformats.org/officeDocument/2006/relationships/hyperlink" Target="#'Presupuesto rv'!B120" /><Relationship Id="rId5" Type="http://schemas.openxmlformats.org/officeDocument/2006/relationships/hyperlink" Target="#'Presupuesto rv'!B171" /><Relationship Id="rId6" Type="http://schemas.openxmlformats.org/officeDocument/2006/relationships/hyperlink" Target="#'Presupuesto rv'!B188" /><Relationship Id="rId7" Type="http://schemas.openxmlformats.org/officeDocument/2006/relationships/hyperlink" Target="#'Presupuesto rv'!B198" /><Relationship Id="rId8" Type="http://schemas.openxmlformats.org/officeDocument/2006/relationships/hyperlink" Target="#'Presupuesto rv'!B154" /><Relationship Id="rId9" Type="http://schemas.openxmlformats.org/officeDocument/2006/relationships/hyperlink" Target="#'Ind generales'!A1" /><Relationship Id="rId10" Type="http://schemas.openxmlformats.org/officeDocument/2006/relationships/hyperlink" Target="#'Pag inicio'!A1" /><Relationship Id="rId11" Type="http://schemas.openxmlformats.org/officeDocument/2006/relationships/image" Target="../media/image2.png" /><Relationship Id="rId12" Type="http://schemas.openxmlformats.org/officeDocument/2006/relationships/hyperlink" Target="#'Presupuesto rv'!B203" /></Relationships>
</file>

<file path=xl/drawings/_rels/drawing5.xml.rels><?xml version="1.0" encoding="utf-8" standalone="yes"?><Relationships xmlns="http://schemas.openxmlformats.org/package/2006/relationships"><Relationship Id="rId1" Type="http://schemas.openxmlformats.org/officeDocument/2006/relationships/hyperlink" Target="#'Presupuesto rv'!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16</xdr:row>
      <xdr:rowOff>47625</xdr:rowOff>
    </xdr:from>
    <xdr:to>
      <xdr:col>9</xdr:col>
      <xdr:colOff>352425</xdr:colOff>
      <xdr:row>20</xdr:row>
      <xdr:rowOff>114300</xdr:rowOff>
    </xdr:to>
    <xdr:sp>
      <xdr:nvSpPr>
        <xdr:cNvPr id="1" name="Text Box 10"/>
        <xdr:cNvSpPr txBox="1">
          <a:spLocks noChangeArrowheads="1"/>
        </xdr:cNvSpPr>
      </xdr:nvSpPr>
      <xdr:spPr>
        <a:xfrm>
          <a:off x="5010150" y="3286125"/>
          <a:ext cx="2200275" cy="828675"/>
        </a:xfrm>
        <a:prstGeom prst="rect">
          <a:avLst/>
        </a:prstGeom>
        <a:solidFill>
          <a:srgbClr val="EAEAEA"/>
        </a:solidFill>
        <a:ln w="9525" cmpd="sng">
          <a:noFill/>
        </a:ln>
      </xdr:spPr>
      <xdr:txBody>
        <a:bodyPr vertOverflow="clip" wrap="square" lIns="27432" tIns="27432" rIns="27432" bIns="0"/>
        <a:p>
          <a:pPr algn="ctr">
            <a:defRPr/>
          </a:pPr>
          <a:r>
            <a:rPr lang="en-US" cap="none" sz="1100" b="1" i="0" u="none" baseline="0">
              <a:solidFill>
                <a:srgbClr val="0000FF"/>
              </a:solidFill>
              <a:latin typeface="Calibri"/>
              <a:ea typeface="Calibri"/>
              <a:cs typeface="Calibri"/>
            </a:rPr>
            <a:t>PARA DILIGENCIAR</a:t>
          </a:r>
        </a:p>
      </xdr:txBody>
    </xdr:sp>
    <xdr:clientData/>
  </xdr:twoCellAnchor>
  <xdr:twoCellAnchor>
    <xdr:from>
      <xdr:col>0</xdr:col>
      <xdr:colOff>180975</xdr:colOff>
      <xdr:row>16</xdr:row>
      <xdr:rowOff>47625</xdr:rowOff>
    </xdr:from>
    <xdr:to>
      <xdr:col>6</xdr:col>
      <xdr:colOff>295275</xdr:colOff>
      <xdr:row>20</xdr:row>
      <xdr:rowOff>114300</xdr:rowOff>
    </xdr:to>
    <xdr:sp>
      <xdr:nvSpPr>
        <xdr:cNvPr id="2" name="Text Box 8"/>
        <xdr:cNvSpPr txBox="1">
          <a:spLocks noChangeArrowheads="1"/>
        </xdr:cNvSpPr>
      </xdr:nvSpPr>
      <xdr:spPr>
        <a:xfrm>
          <a:off x="180975" y="3286125"/>
          <a:ext cx="4686300" cy="828675"/>
        </a:xfrm>
        <a:prstGeom prst="rect">
          <a:avLst/>
        </a:prstGeom>
        <a:solidFill>
          <a:srgbClr val="EAEAEA"/>
        </a:solidFill>
        <a:ln w="9525" cmpd="sng">
          <a:noFill/>
        </a:ln>
      </xdr:spPr>
      <xdr:txBody>
        <a:bodyPr vertOverflow="clip" wrap="square" lIns="27432" tIns="27432" rIns="27432" bIns="0"/>
        <a:p>
          <a:pPr algn="ctr">
            <a:defRPr/>
          </a:pPr>
          <a:r>
            <a:rPr lang="en-US" cap="none" sz="1100" b="1" i="0" u="none" baseline="0">
              <a:solidFill>
                <a:srgbClr val="0000FF"/>
              </a:solidFill>
              <a:latin typeface="Calibri"/>
              <a:ea typeface="Calibri"/>
              <a:cs typeface="Calibri"/>
            </a:rPr>
            <a:t>INFORMATIVOS</a:t>
          </a:r>
        </a:p>
      </xdr:txBody>
    </xdr:sp>
    <xdr:clientData/>
  </xdr:twoCellAnchor>
  <xdr:twoCellAnchor>
    <xdr:from>
      <xdr:col>4</xdr:col>
      <xdr:colOff>104775</xdr:colOff>
      <xdr:row>0</xdr:row>
      <xdr:rowOff>0</xdr:rowOff>
    </xdr:from>
    <xdr:to>
      <xdr:col>5</xdr:col>
      <xdr:colOff>266700</xdr:colOff>
      <xdr:row>4</xdr:row>
      <xdr:rowOff>142875</xdr:rowOff>
    </xdr:to>
    <xdr:pic>
      <xdr:nvPicPr>
        <xdr:cNvPr id="3" name="Picture 9"/>
        <xdr:cNvPicPr preferRelativeResize="1">
          <a:picLocks noChangeAspect="1"/>
        </xdr:cNvPicPr>
      </xdr:nvPicPr>
      <xdr:blipFill>
        <a:blip r:embed="rId1"/>
        <a:stretch>
          <a:fillRect/>
        </a:stretch>
      </xdr:blipFill>
      <xdr:spPr>
        <a:xfrm>
          <a:off x="3152775" y="0"/>
          <a:ext cx="923925" cy="904875"/>
        </a:xfrm>
        <a:prstGeom prst="rect">
          <a:avLst/>
        </a:prstGeom>
        <a:noFill/>
        <a:ln w="9525" cmpd="sng">
          <a:noFill/>
        </a:ln>
      </xdr:spPr>
    </xdr:pic>
    <xdr:clientData/>
  </xdr:twoCellAnchor>
  <xdr:oneCellAnchor>
    <xdr:from>
      <xdr:col>0</xdr:col>
      <xdr:colOff>38100</xdr:colOff>
      <xdr:row>6</xdr:row>
      <xdr:rowOff>95250</xdr:rowOff>
    </xdr:from>
    <xdr:ext cx="7581900" cy="1819275"/>
    <xdr:sp>
      <xdr:nvSpPr>
        <xdr:cNvPr id="4" name="Text Box 3"/>
        <xdr:cNvSpPr txBox="1">
          <a:spLocks noChangeArrowheads="1"/>
        </xdr:cNvSpPr>
      </xdr:nvSpPr>
      <xdr:spPr>
        <a:xfrm>
          <a:off x="38100" y="1428750"/>
          <a:ext cx="7581900" cy="1819275"/>
        </a:xfrm>
        <a:prstGeom prst="rect">
          <a:avLst/>
        </a:prstGeom>
        <a:noFill/>
        <a:ln w="9525" cmpd="sng">
          <a:noFill/>
        </a:ln>
      </xdr:spPr>
      <xdr:txBody>
        <a:bodyPr vertOverflow="clip" wrap="square" lIns="27432" tIns="27432" rIns="27432" bIns="0"/>
        <a:p>
          <a:pPr algn="just">
            <a:defRPr/>
          </a:pPr>
          <a:r>
            <a:rPr lang="en-US" cap="none" sz="1100" b="0" i="0" u="none" baseline="0">
              <a:solidFill>
                <a:srgbClr val="000000"/>
              </a:solidFill>
              <a:latin typeface="Calibri"/>
              <a:ea typeface="Calibri"/>
              <a:cs typeface="Calibri"/>
            </a:rPr>
            <a:t>En cumplimiento del artículo 49 del Decreto 560 del 22 de diciembre de 2009, correspondiente a la ATENCIÓN INFANCIA Y ADOLESCENCIA: “… </a:t>
          </a:r>
          <a:r>
            <a:rPr lang="en-US" cap="none" sz="1100" b="0" i="1" u="none" baseline="0">
              <a:solidFill>
                <a:srgbClr val="000000"/>
              </a:solidFill>
              <a:latin typeface="Calibri"/>
              <a:ea typeface="Calibri"/>
              <a:cs typeface="Calibri"/>
            </a:rPr>
            <a:t>cada entidad responsable de la atención deberá reportar con una periodicidad trimestral la información cuantitativa y cualitativa relacionada con el avance y cumplimiento de las acciones previstas en el Artículo 34 del Acuerdo 308 de 2008, de manera consistente y oportuna, discriminando claramente la población beneficiada. </a:t>
          </a:r>
          <a:r>
            <a:rPr lang="en-US" cap="none" sz="1100" b="1" i="1" u="none" baseline="0">
              <a:solidFill>
                <a:srgbClr val="000000"/>
              </a:solidFill>
              <a:latin typeface="Calibri"/>
              <a:ea typeface="Calibri"/>
              <a:cs typeface="Calibri"/>
            </a:rPr>
            <a:t>Dicha información deberá ser enviada a más tardar el 15 del mes siguiente al trimestre </a:t>
          </a:r>
          <a:r>
            <a:rPr lang="en-US" cap="none" sz="1100" b="0" i="1" u="none" baseline="0">
              <a:solidFill>
                <a:srgbClr val="000000"/>
              </a:solidFill>
              <a:latin typeface="Calibri"/>
              <a:ea typeface="Calibri"/>
              <a:cs typeface="Calibri"/>
            </a:rPr>
            <a:t>reportado y así sucesivamente, a las Secretarías Distritales de Planeación y Hacienda, entidades responsables de su consolidación. Copia del informe consolidado se enviará al Concejo Distrital.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 el fin de dar cumplimiento a los requerimientos de información, es necesario tener en cuenta los siguientes link: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editAs="absolute">
    <xdr:from>
      <xdr:col>0</xdr:col>
      <xdr:colOff>457200</xdr:colOff>
      <xdr:row>17</xdr:row>
      <xdr:rowOff>180975</xdr:rowOff>
    </xdr:from>
    <xdr:to>
      <xdr:col>3</xdr:col>
      <xdr:colOff>152400</xdr:colOff>
      <xdr:row>20</xdr:row>
      <xdr:rowOff>19050</xdr:rowOff>
    </xdr:to>
    <xdr:sp>
      <xdr:nvSpPr>
        <xdr:cNvPr id="5" name="Rectangle 3">
          <a:hlinkClick r:id="rId2"/>
        </xdr:cNvPr>
        <xdr:cNvSpPr>
          <a:spLocks/>
        </xdr:cNvSpPr>
      </xdr:nvSpPr>
      <xdr:spPr>
        <a:xfrm>
          <a:off x="457200" y="3609975"/>
          <a:ext cx="1981200" cy="409575"/>
        </a:xfrm>
        <a:prstGeom prst="rect">
          <a:avLst/>
        </a:prstGeom>
        <a:solidFill>
          <a:srgbClr val="C0C0C0"/>
        </a:solidFill>
        <a:ln w="9525" cmpd="sng">
          <a:noFill/>
        </a:ln>
      </xdr:spPr>
      <xdr:txBody>
        <a:bodyPr vertOverflow="clip" wrap="square" lIns="27432" tIns="22860" rIns="27432" bIns="22860" anchor="ctr"/>
        <a:p>
          <a:pPr algn="ctr">
            <a:defRPr/>
          </a:pPr>
          <a:r>
            <a:rPr lang="en-US" cap="none" sz="1000" b="1" i="0" u="sng" baseline="0">
              <a:solidFill>
                <a:srgbClr val="0000FF"/>
              </a:solidFill>
            </a:rPr>
            <a:t>1. CARACTERIZACIÓN DE LA POBLACIÓN</a:t>
          </a:r>
        </a:p>
      </xdr:txBody>
    </xdr:sp>
    <xdr:clientData/>
  </xdr:twoCellAnchor>
  <xdr:twoCellAnchor editAs="absolute">
    <xdr:from>
      <xdr:col>3</xdr:col>
      <xdr:colOff>333375</xdr:colOff>
      <xdr:row>17</xdr:row>
      <xdr:rowOff>171450</xdr:rowOff>
    </xdr:from>
    <xdr:to>
      <xdr:col>6</xdr:col>
      <xdr:colOff>28575</xdr:colOff>
      <xdr:row>20</xdr:row>
      <xdr:rowOff>9525</xdr:rowOff>
    </xdr:to>
    <xdr:sp>
      <xdr:nvSpPr>
        <xdr:cNvPr id="6" name="Rectangle 3">
          <a:hlinkClick r:id="rId3"/>
        </xdr:cNvPr>
        <xdr:cNvSpPr>
          <a:spLocks/>
        </xdr:cNvSpPr>
      </xdr:nvSpPr>
      <xdr:spPr>
        <a:xfrm>
          <a:off x="2619375" y="3600450"/>
          <a:ext cx="1981200" cy="409575"/>
        </a:xfrm>
        <a:prstGeom prst="rect">
          <a:avLst/>
        </a:prstGeom>
        <a:solidFill>
          <a:srgbClr val="C0C0C0"/>
        </a:solidFill>
        <a:ln w="9525" cmpd="sng">
          <a:noFill/>
        </a:ln>
      </xdr:spPr>
      <xdr:txBody>
        <a:bodyPr vertOverflow="clip" wrap="square" lIns="27432" tIns="22860" rIns="27432" bIns="22860" anchor="ctr"/>
        <a:p>
          <a:pPr algn="ctr">
            <a:defRPr/>
          </a:pPr>
          <a:r>
            <a:rPr lang="en-US" cap="none" sz="1000" b="1" i="0" u="sng" baseline="0">
              <a:solidFill>
                <a:srgbClr val="0000FF"/>
              </a:solidFill>
            </a:rPr>
            <a:t>2. PROYECCIONES DE NNA 2011</a:t>
          </a:r>
        </a:p>
      </xdr:txBody>
    </xdr:sp>
    <xdr:clientData/>
  </xdr:twoCellAnchor>
  <xdr:twoCellAnchor editAs="absolute">
    <xdr:from>
      <xdr:col>6</xdr:col>
      <xdr:colOff>542925</xdr:colOff>
      <xdr:row>17</xdr:row>
      <xdr:rowOff>152400</xdr:rowOff>
    </xdr:from>
    <xdr:to>
      <xdr:col>9</xdr:col>
      <xdr:colOff>238125</xdr:colOff>
      <xdr:row>19</xdr:row>
      <xdr:rowOff>180975</xdr:rowOff>
    </xdr:to>
    <xdr:sp>
      <xdr:nvSpPr>
        <xdr:cNvPr id="7" name="Rectangle 3">
          <a:hlinkClick r:id="rId4"/>
        </xdr:cNvPr>
        <xdr:cNvSpPr>
          <a:spLocks/>
        </xdr:cNvSpPr>
      </xdr:nvSpPr>
      <xdr:spPr>
        <a:xfrm>
          <a:off x="5114925" y="3581400"/>
          <a:ext cx="1981200" cy="409575"/>
        </a:xfrm>
        <a:prstGeom prst="rect">
          <a:avLst/>
        </a:prstGeom>
        <a:solidFill>
          <a:srgbClr val="C0C0C0"/>
        </a:solidFill>
        <a:ln w="9525" cmpd="sng">
          <a:noFill/>
        </a:ln>
      </xdr:spPr>
      <xdr:txBody>
        <a:bodyPr vertOverflow="clip" wrap="square" lIns="27432" tIns="22860" rIns="27432" bIns="22860" anchor="ctr"/>
        <a:p>
          <a:pPr algn="ctr">
            <a:defRPr/>
          </a:pPr>
          <a:r>
            <a:rPr lang="en-US" cap="none" sz="1000" b="1" i="0" u="sng" baseline="0">
              <a:solidFill>
                <a:srgbClr val="0000FF"/>
              </a:solidFill>
            </a:rPr>
            <a:t>3. MATRIZ PRESUPUESTAL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57150</xdr:colOff>
      <xdr:row>0</xdr:row>
      <xdr:rowOff>114300</xdr:rowOff>
    </xdr:from>
    <xdr:to>
      <xdr:col>4</xdr:col>
      <xdr:colOff>809625</xdr:colOff>
      <xdr:row>1</xdr:row>
      <xdr:rowOff>123825</xdr:rowOff>
    </xdr:to>
    <xdr:grpSp>
      <xdr:nvGrpSpPr>
        <xdr:cNvPr id="1" name="Group 1">
          <a:hlinkClick r:id="rId1"/>
        </xdr:cNvPr>
        <xdr:cNvGrpSpPr>
          <a:grpSpLocks/>
        </xdr:cNvGrpSpPr>
      </xdr:nvGrpSpPr>
      <xdr:grpSpPr>
        <a:xfrm>
          <a:off x="3067050" y="114300"/>
          <a:ext cx="752475" cy="295275"/>
          <a:chOff x="728" y="3"/>
          <a:chExt cx="79" cy="31"/>
        </a:xfrm>
        <a:solidFill>
          <a:srgbClr val="FFFFFF"/>
        </a:solidFill>
      </xdr:grpSpPr>
      <xdr:pic>
        <xdr:nvPicPr>
          <xdr:cNvPr id="2" name="Picture 2"/>
          <xdr:cNvPicPr preferRelativeResize="1">
            <a:picLocks noChangeAspect="1"/>
          </xdr:cNvPicPr>
        </xdr:nvPicPr>
        <xdr:blipFill>
          <a:blip r:embed="rId2"/>
          <a:stretch>
            <a:fillRect/>
          </a:stretch>
        </xdr:blipFill>
        <xdr:spPr>
          <a:xfrm>
            <a:off x="728" y="3"/>
            <a:ext cx="35" cy="31"/>
          </a:xfrm>
          <a:prstGeom prst="rect">
            <a:avLst/>
          </a:prstGeom>
          <a:noFill/>
          <a:ln w="9525" cmpd="sng">
            <a:noFill/>
          </a:ln>
        </xdr:spPr>
      </xdr:pic>
      <xdr:sp>
        <xdr:nvSpPr>
          <xdr:cNvPr id="3" name="Text Box 3"/>
          <xdr:cNvSpPr txBox="1">
            <a:spLocks noChangeArrowheads="1"/>
          </xdr:cNvSpPr>
        </xdr:nvSpPr>
        <xdr:spPr>
          <a:xfrm>
            <a:off x="764" y="8"/>
            <a:ext cx="43" cy="19"/>
          </a:xfrm>
          <a:prstGeom prst="rect">
            <a:avLst/>
          </a:prstGeom>
          <a:noFill/>
          <a:ln w="9525" cmpd="sng">
            <a:noFill/>
          </a:ln>
        </xdr:spPr>
        <xdr:txBody>
          <a:bodyPr vertOverflow="clip" wrap="square" lIns="27432" tIns="22860" rIns="0" bIns="0">
            <a:spAutoFit/>
          </a:bodyPr>
          <a:p>
            <a:pPr algn="l">
              <a:defRPr/>
            </a:pPr>
            <a:r>
              <a:rPr lang="en-US" cap="none" sz="1000" b="1" i="0" u="none" baseline="0">
                <a:solidFill>
                  <a:srgbClr val="000000"/>
                </a:solidFill>
              </a:rPr>
              <a:t>Inicio</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66675</xdr:rowOff>
    </xdr:from>
    <xdr:ext cx="7248525" cy="561975"/>
    <xdr:sp>
      <xdr:nvSpPr>
        <xdr:cNvPr id="1" name="Text Box 1"/>
        <xdr:cNvSpPr txBox="1">
          <a:spLocks noChangeArrowheads="1"/>
        </xdr:cNvSpPr>
      </xdr:nvSpPr>
      <xdr:spPr>
        <a:xfrm>
          <a:off x="95250" y="66675"/>
          <a:ext cx="7248525" cy="561975"/>
        </a:xfrm>
        <a:prstGeom prst="rect">
          <a:avLst/>
        </a:prstGeom>
        <a:noFill/>
        <a:ln w="9525" cmpd="sng">
          <a:noFill/>
        </a:ln>
      </xdr:spPr>
      <xdr:txBody>
        <a:bodyPr vertOverflow="clip" wrap="square" lIns="27432" tIns="27432" rIns="27432" bIns="0"/>
        <a:p>
          <a:pPr algn="just">
            <a:defRPr/>
          </a:pPr>
          <a:r>
            <a:rPr lang="en-US" cap="none" sz="1100" b="0" i="0" u="none" baseline="0">
              <a:solidFill>
                <a:srgbClr val="000000"/>
              </a:solidFill>
              <a:latin typeface="Calibri"/>
              <a:ea typeface="Calibri"/>
              <a:cs typeface="Calibri"/>
            </a:rPr>
            <a:t>La entidad responsable de suministrar los datos oficiales de población de la ciudad es la Secretaría Distrital de Planeación con base en datos DANE. En éste archivo en la pestaña Proyecciones 2010 encuentran la información por edades simples correspondientes a niños, niñas y adolescentes de 0 a 18 años.</a:t>
          </a:r>
        </a:p>
      </xdr:txBody>
    </xdr:sp>
    <xdr:clientData/>
  </xdr:oneCellAnchor>
  <xdr:oneCellAnchor>
    <xdr:from>
      <xdr:col>0</xdr:col>
      <xdr:colOff>95250</xdr:colOff>
      <xdr:row>3</xdr:row>
      <xdr:rowOff>133350</xdr:rowOff>
    </xdr:from>
    <xdr:ext cx="7219950" cy="619125"/>
    <xdr:sp>
      <xdr:nvSpPr>
        <xdr:cNvPr id="2" name="Text Box 2"/>
        <xdr:cNvSpPr txBox="1">
          <a:spLocks noChangeArrowheads="1"/>
        </xdr:cNvSpPr>
      </xdr:nvSpPr>
      <xdr:spPr>
        <a:xfrm>
          <a:off x="95250" y="704850"/>
          <a:ext cx="7219950" cy="619125"/>
        </a:xfrm>
        <a:prstGeom prst="rect">
          <a:avLst/>
        </a:prstGeom>
        <a:solidFill>
          <a:srgbClr val="3366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FFFFFF"/>
              </a:solidFill>
              <a:latin typeface="Calibri"/>
              <a:ea typeface="Calibri"/>
              <a:cs typeface="Calibri"/>
            </a:rPr>
            <a:t>IMPORTANTE: 
</a:t>
          </a:r>
          <a:r>
            <a:rPr lang="en-US" cap="none" sz="1100" b="0" i="0" u="none" baseline="0">
              <a:solidFill>
                <a:srgbClr val="FFFFFF"/>
              </a:solidFill>
              <a:latin typeface="Calibri"/>
              <a:ea typeface="Calibri"/>
              <a:cs typeface="Calibri"/>
            </a:rPr>
            <a:t>El dato de población total de NNA que suministra la SDP será la fuente con base en la cual las entidades darán cuenta de sus acciones en lo que respecta a indicadores de gestión y de impacto.</a:t>
          </a:r>
        </a:p>
      </xdr:txBody>
    </xdr:sp>
    <xdr:clientData/>
  </xdr:oneCellAnchor>
  <xdr:twoCellAnchor editAs="absolute">
    <xdr:from>
      <xdr:col>10</xdr:col>
      <xdr:colOff>38100</xdr:colOff>
      <xdr:row>1</xdr:row>
      <xdr:rowOff>114300</xdr:rowOff>
    </xdr:from>
    <xdr:to>
      <xdr:col>11</xdr:col>
      <xdr:colOff>28575</xdr:colOff>
      <xdr:row>3</xdr:row>
      <xdr:rowOff>28575</xdr:rowOff>
    </xdr:to>
    <xdr:grpSp>
      <xdr:nvGrpSpPr>
        <xdr:cNvPr id="3" name="Group 1">
          <a:hlinkClick r:id="rId1"/>
        </xdr:cNvPr>
        <xdr:cNvGrpSpPr>
          <a:grpSpLocks/>
        </xdr:cNvGrpSpPr>
      </xdr:nvGrpSpPr>
      <xdr:grpSpPr>
        <a:xfrm>
          <a:off x="7839075" y="304800"/>
          <a:ext cx="752475" cy="295275"/>
          <a:chOff x="728" y="3"/>
          <a:chExt cx="79" cy="31"/>
        </a:xfrm>
        <a:solidFill>
          <a:srgbClr val="FFFFFF"/>
        </a:solidFill>
      </xdr:grpSpPr>
      <xdr:pic>
        <xdr:nvPicPr>
          <xdr:cNvPr id="4" name="Picture 2"/>
          <xdr:cNvPicPr preferRelativeResize="1">
            <a:picLocks noChangeAspect="1"/>
          </xdr:cNvPicPr>
        </xdr:nvPicPr>
        <xdr:blipFill>
          <a:blip r:embed="rId2"/>
          <a:stretch>
            <a:fillRect/>
          </a:stretch>
        </xdr:blipFill>
        <xdr:spPr>
          <a:xfrm>
            <a:off x="728" y="3"/>
            <a:ext cx="35" cy="31"/>
          </a:xfrm>
          <a:prstGeom prst="rect">
            <a:avLst/>
          </a:prstGeom>
          <a:noFill/>
          <a:ln w="9525" cmpd="sng">
            <a:noFill/>
          </a:ln>
        </xdr:spPr>
      </xdr:pic>
      <xdr:sp>
        <xdr:nvSpPr>
          <xdr:cNvPr id="5" name="Text Box 3"/>
          <xdr:cNvSpPr txBox="1">
            <a:spLocks noChangeArrowheads="1"/>
          </xdr:cNvSpPr>
        </xdr:nvSpPr>
        <xdr:spPr>
          <a:xfrm>
            <a:off x="764" y="8"/>
            <a:ext cx="43" cy="19"/>
          </a:xfrm>
          <a:prstGeom prst="rect">
            <a:avLst/>
          </a:prstGeom>
          <a:noFill/>
          <a:ln w="9525" cmpd="sng">
            <a:noFill/>
          </a:ln>
        </xdr:spPr>
        <xdr:txBody>
          <a:bodyPr vertOverflow="clip" wrap="square" lIns="27432" tIns="22860" rIns="0" bIns="0">
            <a:spAutoFit/>
          </a:bodyPr>
          <a:p>
            <a:pPr algn="l">
              <a:defRPr/>
            </a:pPr>
            <a:r>
              <a:rPr lang="en-US" cap="none" sz="1000" b="1" i="0" u="none" baseline="0">
                <a:solidFill>
                  <a:srgbClr val="000000"/>
                </a:solidFill>
              </a:rPr>
              <a:t>Inicio</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1</xdr:row>
      <xdr:rowOff>28575</xdr:rowOff>
    </xdr:from>
    <xdr:to>
      <xdr:col>3</xdr:col>
      <xdr:colOff>762000</xdr:colOff>
      <xdr:row>1</xdr:row>
      <xdr:rowOff>314325</xdr:rowOff>
    </xdr:to>
    <xdr:sp>
      <xdr:nvSpPr>
        <xdr:cNvPr id="1" name="Rectangle 329">
          <a:hlinkClick r:id="rId1"/>
        </xdr:cNvPr>
        <xdr:cNvSpPr>
          <a:spLocks/>
        </xdr:cNvSpPr>
      </xdr:nvSpPr>
      <xdr:spPr>
        <a:xfrm>
          <a:off x="2266950" y="295275"/>
          <a:ext cx="13239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EDUCACIÓN</a:t>
          </a:r>
        </a:p>
      </xdr:txBody>
    </xdr:sp>
    <xdr:clientData/>
  </xdr:twoCellAnchor>
  <xdr:twoCellAnchor>
    <xdr:from>
      <xdr:col>4</xdr:col>
      <xdr:colOff>371475</xdr:colOff>
      <xdr:row>1</xdr:row>
      <xdr:rowOff>28575</xdr:rowOff>
    </xdr:from>
    <xdr:to>
      <xdr:col>5</xdr:col>
      <xdr:colOff>514350</xdr:colOff>
      <xdr:row>1</xdr:row>
      <xdr:rowOff>314325</xdr:rowOff>
    </xdr:to>
    <xdr:sp>
      <xdr:nvSpPr>
        <xdr:cNvPr id="2" name="Rectangle 331">
          <a:hlinkClick r:id="rId2"/>
        </xdr:cNvPr>
        <xdr:cNvSpPr>
          <a:spLocks/>
        </xdr:cNvSpPr>
      </xdr:nvSpPr>
      <xdr:spPr>
        <a:xfrm>
          <a:off x="4972050" y="295275"/>
          <a:ext cx="115252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SALUD</a:t>
          </a:r>
        </a:p>
      </xdr:txBody>
    </xdr:sp>
    <xdr:clientData/>
  </xdr:twoCellAnchor>
  <xdr:twoCellAnchor>
    <xdr:from>
      <xdr:col>3</xdr:col>
      <xdr:colOff>857250</xdr:colOff>
      <xdr:row>1</xdr:row>
      <xdr:rowOff>28575</xdr:rowOff>
    </xdr:from>
    <xdr:to>
      <xdr:col>4</xdr:col>
      <xdr:colOff>276225</xdr:colOff>
      <xdr:row>1</xdr:row>
      <xdr:rowOff>314325</xdr:rowOff>
    </xdr:to>
    <xdr:sp>
      <xdr:nvSpPr>
        <xdr:cNvPr id="3" name="Rectangle 332">
          <a:hlinkClick r:id="rId3"/>
        </xdr:cNvPr>
        <xdr:cNvSpPr>
          <a:spLocks/>
        </xdr:cNvSpPr>
      </xdr:nvSpPr>
      <xdr:spPr>
        <a:xfrm>
          <a:off x="3686175" y="295275"/>
          <a:ext cx="119062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INTEGRACIÓN</a:t>
          </a:r>
        </a:p>
      </xdr:txBody>
    </xdr:sp>
    <xdr:clientData/>
  </xdr:twoCellAnchor>
  <xdr:twoCellAnchor>
    <xdr:from>
      <xdr:col>5</xdr:col>
      <xdr:colOff>609600</xdr:colOff>
      <xdr:row>1</xdr:row>
      <xdr:rowOff>28575</xdr:rowOff>
    </xdr:from>
    <xdr:to>
      <xdr:col>6</xdr:col>
      <xdr:colOff>381000</xdr:colOff>
      <xdr:row>1</xdr:row>
      <xdr:rowOff>314325</xdr:rowOff>
    </xdr:to>
    <xdr:sp>
      <xdr:nvSpPr>
        <xdr:cNvPr id="4" name="Rectangle 333">
          <a:hlinkClick r:id="rId4"/>
        </xdr:cNvPr>
        <xdr:cNvSpPr>
          <a:spLocks/>
        </xdr:cNvSpPr>
      </xdr:nvSpPr>
      <xdr:spPr>
        <a:xfrm>
          <a:off x="6219825" y="295275"/>
          <a:ext cx="11715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CULTURA REC </a:t>
          </a:r>
        </a:p>
      </xdr:txBody>
    </xdr:sp>
    <xdr:clientData/>
  </xdr:twoCellAnchor>
  <xdr:twoCellAnchor>
    <xdr:from>
      <xdr:col>7</xdr:col>
      <xdr:colOff>371475</xdr:colOff>
      <xdr:row>1</xdr:row>
      <xdr:rowOff>28575</xdr:rowOff>
    </xdr:from>
    <xdr:to>
      <xdr:col>8</xdr:col>
      <xdr:colOff>266700</xdr:colOff>
      <xdr:row>1</xdr:row>
      <xdr:rowOff>304800</xdr:rowOff>
    </xdr:to>
    <xdr:sp>
      <xdr:nvSpPr>
        <xdr:cNvPr id="5" name="Rectangle 334">
          <a:hlinkClick r:id="rId5"/>
        </xdr:cNvPr>
        <xdr:cNvSpPr>
          <a:spLocks/>
        </xdr:cNvSpPr>
      </xdr:nvSpPr>
      <xdr:spPr>
        <a:xfrm>
          <a:off x="8639175" y="295275"/>
          <a:ext cx="1095375" cy="276225"/>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GOBIERNO</a:t>
          </a:r>
        </a:p>
      </xdr:txBody>
    </xdr:sp>
    <xdr:clientData/>
  </xdr:twoCellAnchor>
  <xdr:twoCellAnchor>
    <xdr:from>
      <xdr:col>8</xdr:col>
      <xdr:colOff>352425</xdr:colOff>
      <xdr:row>1</xdr:row>
      <xdr:rowOff>28575</xdr:rowOff>
    </xdr:from>
    <xdr:to>
      <xdr:col>8</xdr:col>
      <xdr:colOff>1323975</xdr:colOff>
      <xdr:row>1</xdr:row>
      <xdr:rowOff>314325</xdr:rowOff>
    </xdr:to>
    <xdr:sp>
      <xdr:nvSpPr>
        <xdr:cNvPr id="6" name="Rectangle 335">
          <a:hlinkClick r:id="rId6"/>
        </xdr:cNvPr>
        <xdr:cNvSpPr>
          <a:spLocks/>
        </xdr:cNvSpPr>
      </xdr:nvSpPr>
      <xdr:spPr>
        <a:xfrm>
          <a:off x="9820275" y="295275"/>
          <a:ext cx="971550"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AMBIENTE</a:t>
          </a:r>
        </a:p>
      </xdr:txBody>
    </xdr:sp>
    <xdr:clientData/>
  </xdr:twoCellAnchor>
  <xdr:twoCellAnchor>
    <xdr:from>
      <xdr:col>8</xdr:col>
      <xdr:colOff>1466850</xdr:colOff>
      <xdr:row>1</xdr:row>
      <xdr:rowOff>28575</xdr:rowOff>
    </xdr:from>
    <xdr:to>
      <xdr:col>9</xdr:col>
      <xdr:colOff>295275</xdr:colOff>
      <xdr:row>1</xdr:row>
      <xdr:rowOff>333375</xdr:rowOff>
    </xdr:to>
    <xdr:sp>
      <xdr:nvSpPr>
        <xdr:cNvPr id="7" name="Rectangle 337">
          <a:hlinkClick r:id="rId7"/>
        </xdr:cNvPr>
        <xdr:cNvSpPr>
          <a:spLocks/>
        </xdr:cNvSpPr>
      </xdr:nvSpPr>
      <xdr:spPr>
        <a:xfrm>
          <a:off x="10934700" y="295275"/>
          <a:ext cx="1257300" cy="30480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MOVILIDAD</a:t>
          </a:r>
        </a:p>
      </xdr:txBody>
    </xdr:sp>
    <xdr:clientData/>
  </xdr:twoCellAnchor>
  <xdr:twoCellAnchor>
    <xdr:from>
      <xdr:col>6</xdr:col>
      <xdr:colOff>466725</xdr:colOff>
      <xdr:row>1</xdr:row>
      <xdr:rowOff>28575</xdr:rowOff>
    </xdr:from>
    <xdr:to>
      <xdr:col>7</xdr:col>
      <xdr:colOff>285750</xdr:colOff>
      <xdr:row>1</xdr:row>
      <xdr:rowOff>314325</xdr:rowOff>
    </xdr:to>
    <xdr:sp>
      <xdr:nvSpPr>
        <xdr:cNvPr id="8" name="Rectangle 343">
          <a:hlinkClick r:id="rId8"/>
        </xdr:cNvPr>
        <xdr:cNvSpPr>
          <a:spLocks/>
        </xdr:cNvSpPr>
      </xdr:nvSpPr>
      <xdr:spPr>
        <a:xfrm>
          <a:off x="7477125" y="295275"/>
          <a:ext cx="107632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HABITAT</a:t>
          </a:r>
        </a:p>
      </xdr:txBody>
    </xdr:sp>
    <xdr:clientData/>
  </xdr:twoCellAnchor>
  <xdr:twoCellAnchor>
    <xdr:from>
      <xdr:col>10</xdr:col>
      <xdr:colOff>466725</xdr:colOff>
      <xdr:row>1</xdr:row>
      <xdr:rowOff>9525</xdr:rowOff>
    </xdr:from>
    <xdr:to>
      <xdr:col>11</xdr:col>
      <xdr:colOff>942975</xdr:colOff>
      <xdr:row>1</xdr:row>
      <xdr:rowOff>390525</xdr:rowOff>
    </xdr:to>
    <xdr:sp>
      <xdr:nvSpPr>
        <xdr:cNvPr id="9" name="Rectangle 344">
          <a:hlinkClick r:id="rId9"/>
        </xdr:cNvPr>
        <xdr:cNvSpPr>
          <a:spLocks/>
        </xdr:cNvSpPr>
      </xdr:nvSpPr>
      <xdr:spPr>
        <a:xfrm>
          <a:off x="14792325" y="276225"/>
          <a:ext cx="2295525" cy="381000"/>
        </a:xfrm>
        <a:prstGeom prst="rect">
          <a:avLst/>
        </a:prstGeom>
        <a:solidFill>
          <a:srgbClr val="333399"/>
        </a:solidFill>
        <a:ln w="9525" cmpd="sng">
          <a:noFill/>
        </a:ln>
      </xdr:spPr>
      <xdr:txBody>
        <a:bodyPr vertOverflow="clip" wrap="square" lIns="27432" tIns="27432" rIns="27432" bIns="27432" anchor="ctr"/>
        <a:p>
          <a:pPr algn="ctr">
            <a:defRPr/>
          </a:pPr>
          <a:r>
            <a:rPr lang="en-US" cap="none" sz="1100" b="1" i="0" u="none" baseline="0">
              <a:solidFill>
                <a:srgbClr val="FFFFFF"/>
              </a:solidFill>
              <a:latin typeface="Calibri"/>
              <a:ea typeface="Calibri"/>
              <a:cs typeface="Calibri"/>
            </a:rPr>
            <a:t>INDICACIONES GENERALES</a:t>
          </a:r>
        </a:p>
      </xdr:txBody>
    </xdr:sp>
    <xdr:clientData/>
  </xdr:twoCellAnchor>
  <xdr:twoCellAnchor editAs="absolute">
    <xdr:from>
      <xdr:col>12</xdr:col>
      <xdr:colOff>314325</xdr:colOff>
      <xdr:row>0</xdr:row>
      <xdr:rowOff>104775</xdr:rowOff>
    </xdr:from>
    <xdr:to>
      <xdr:col>12</xdr:col>
      <xdr:colOff>1304925</xdr:colOff>
      <xdr:row>1</xdr:row>
      <xdr:rowOff>295275</xdr:rowOff>
    </xdr:to>
    <xdr:grpSp>
      <xdr:nvGrpSpPr>
        <xdr:cNvPr id="10" name="Group 1">
          <a:hlinkClick r:id="rId10"/>
        </xdr:cNvPr>
        <xdr:cNvGrpSpPr>
          <a:grpSpLocks/>
        </xdr:cNvGrpSpPr>
      </xdr:nvGrpSpPr>
      <xdr:grpSpPr>
        <a:xfrm>
          <a:off x="18278475" y="104775"/>
          <a:ext cx="990600" cy="457200"/>
          <a:chOff x="728" y="3"/>
          <a:chExt cx="63" cy="31"/>
        </a:xfrm>
        <a:solidFill>
          <a:srgbClr val="FFFFFF"/>
        </a:solidFill>
      </xdr:grpSpPr>
      <xdr:pic>
        <xdr:nvPicPr>
          <xdr:cNvPr id="11" name="Picture 2"/>
          <xdr:cNvPicPr preferRelativeResize="1">
            <a:picLocks noChangeAspect="1"/>
          </xdr:cNvPicPr>
        </xdr:nvPicPr>
        <xdr:blipFill>
          <a:blip r:embed="rId11"/>
          <a:stretch>
            <a:fillRect/>
          </a:stretch>
        </xdr:blipFill>
        <xdr:spPr>
          <a:xfrm>
            <a:off x="728" y="3"/>
            <a:ext cx="35" cy="31"/>
          </a:xfrm>
          <a:prstGeom prst="rect">
            <a:avLst/>
          </a:prstGeom>
          <a:noFill/>
          <a:ln w="9525" cmpd="sng">
            <a:noFill/>
          </a:ln>
        </xdr:spPr>
      </xdr:pic>
      <xdr:sp>
        <xdr:nvSpPr>
          <xdr:cNvPr id="12" name="Text Box 3"/>
          <xdr:cNvSpPr txBox="1">
            <a:spLocks noChangeArrowheads="1"/>
          </xdr:cNvSpPr>
        </xdr:nvSpPr>
        <xdr:spPr>
          <a:xfrm>
            <a:off x="764" y="9"/>
            <a:ext cx="27" cy="13"/>
          </a:xfrm>
          <a:prstGeom prst="rect">
            <a:avLst/>
          </a:prstGeom>
          <a:noFill/>
          <a:ln w="9525" cmpd="sng">
            <a:noFill/>
          </a:ln>
        </xdr:spPr>
        <xdr:txBody>
          <a:bodyPr vertOverflow="clip" wrap="square" lIns="27432" tIns="22860" rIns="0" bIns="0">
            <a:spAutoFit/>
          </a:bodyPr>
          <a:p>
            <a:pPr algn="l">
              <a:defRPr/>
            </a:pPr>
            <a:r>
              <a:rPr lang="en-US" cap="none" sz="1000" b="1" i="0" u="none" baseline="0">
                <a:solidFill>
                  <a:srgbClr val="000000"/>
                </a:solidFill>
              </a:rPr>
              <a:t>Inicio</a:t>
            </a:r>
          </a:p>
        </xdr:txBody>
      </xdr:sp>
    </xdr:grpSp>
    <xdr:clientData fPrintsWithSheet="0"/>
  </xdr:twoCellAnchor>
  <xdr:twoCellAnchor>
    <xdr:from>
      <xdr:col>9</xdr:col>
      <xdr:colOff>685800</xdr:colOff>
      <xdr:row>1</xdr:row>
      <xdr:rowOff>28575</xdr:rowOff>
    </xdr:from>
    <xdr:to>
      <xdr:col>9</xdr:col>
      <xdr:colOff>2209800</xdr:colOff>
      <xdr:row>1</xdr:row>
      <xdr:rowOff>295275</xdr:rowOff>
    </xdr:to>
    <xdr:sp>
      <xdr:nvSpPr>
        <xdr:cNvPr id="13" name="Rectangle 534">
          <a:hlinkClick r:id="rId12"/>
        </xdr:cNvPr>
        <xdr:cNvSpPr>
          <a:spLocks/>
        </xdr:cNvSpPr>
      </xdr:nvSpPr>
      <xdr:spPr>
        <a:xfrm>
          <a:off x="12582525" y="295275"/>
          <a:ext cx="1524000" cy="26670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ORG. DE CONTROL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0</xdr:row>
      <xdr:rowOff>133350</xdr:rowOff>
    </xdr:from>
    <xdr:to>
      <xdr:col>6</xdr:col>
      <xdr:colOff>238125</xdr:colOff>
      <xdr:row>2</xdr:row>
      <xdr:rowOff>180975</xdr:rowOff>
    </xdr:to>
    <xdr:sp>
      <xdr:nvSpPr>
        <xdr:cNvPr id="1" name="AutoShape 1">
          <a:hlinkClick r:id="rId1"/>
        </xdr:cNvPr>
        <xdr:cNvSpPr>
          <a:spLocks/>
        </xdr:cNvSpPr>
      </xdr:nvSpPr>
      <xdr:spPr>
        <a:xfrm>
          <a:off x="5619750" y="133350"/>
          <a:ext cx="857250" cy="438150"/>
        </a:xfrm>
        <a:prstGeom prst="leftArrow">
          <a:avLst>
            <a:gd name="adj1" fmla="val -18888"/>
            <a:gd name="adj2" fmla="val -32606"/>
          </a:avLst>
        </a:prstGeom>
        <a:solidFill>
          <a:srgbClr val="3366FF"/>
        </a:solidFill>
        <a:ln w="9525" cmpd="sng">
          <a:noFill/>
        </a:ln>
      </xdr:spPr>
      <xdr:txBody>
        <a:bodyPr vertOverflow="clip" wrap="square" lIns="27432" tIns="27432" rIns="0" bIns="0"/>
        <a:p>
          <a:pPr algn="l">
            <a:defRPr/>
          </a:pPr>
          <a:r>
            <a:rPr lang="en-US" cap="none" sz="1100" b="0" i="0" u="none" baseline="0">
              <a:solidFill>
                <a:srgbClr val="FFFFFF"/>
              </a:solidFill>
              <a:latin typeface="Calibri"/>
              <a:ea typeface="Calibri"/>
              <a:cs typeface="Calibri"/>
            </a:rPr>
            <a:t>Regresar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4:J6"/>
  <sheetViews>
    <sheetView showGridLines="0" tabSelected="1" zoomScalePageLayoutView="0" workbookViewId="0" topLeftCell="A1">
      <selection activeCell="A1" sqref="A1"/>
    </sheetView>
  </sheetViews>
  <sheetFormatPr defaultColWidth="11.421875" defaultRowHeight="15"/>
  <sheetData>
    <row r="4" ht="15" customHeight="1">
      <c r="A4" s="174"/>
    </row>
    <row r="6" spans="1:10" ht="30" customHeight="1">
      <c r="A6" s="267" t="s">
        <v>499</v>
      </c>
      <c r="B6" s="267"/>
      <c r="C6" s="267"/>
      <c r="D6" s="267"/>
      <c r="E6" s="267"/>
      <c r="F6" s="267"/>
      <c r="G6" s="267"/>
      <c r="H6" s="267"/>
      <c r="I6" s="267"/>
      <c r="J6" s="267"/>
    </row>
  </sheetData>
  <sheetProtection/>
  <mergeCells count="1">
    <mergeCell ref="A6:J6"/>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B1:G10"/>
  <sheetViews>
    <sheetView showGridLines="0" zoomScalePageLayoutView="0" workbookViewId="0" topLeftCell="A1">
      <selection activeCell="A1" sqref="A1"/>
    </sheetView>
  </sheetViews>
  <sheetFormatPr defaultColWidth="11.421875" defaultRowHeight="15"/>
  <cols>
    <col min="1" max="1" width="3.421875" style="0" customWidth="1"/>
    <col min="2" max="2" width="15.00390625" style="0" customWidth="1"/>
    <col min="3" max="3" width="14.8515625" style="0" customWidth="1"/>
    <col min="4" max="4" width="11.8515625" style="0" customWidth="1"/>
    <col min="5" max="5" width="12.421875" style="0" customWidth="1"/>
    <col min="6" max="6" width="4.140625" style="0" customWidth="1"/>
  </cols>
  <sheetData>
    <row r="1" ht="22.5" customHeight="1">
      <c r="G1" s="233"/>
    </row>
    <row r="2" spans="5:7" ht="12" customHeight="1">
      <c r="E2" s="2"/>
      <c r="F2" s="2"/>
      <c r="G2" s="233"/>
    </row>
    <row r="3" spans="2:7" ht="18.75">
      <c r="B3" s="268" t="s">
        <v>569</v>
      </c>
      <c r="C3" s="269"/>
      <c r="D3" s="269"/>
      <c r="E3" s="269"/>
      <c r="G3" s="233"/>
    </row>
    <row r="4" spans="2:5" ht="23.25" customHeight="1">
      <c r="B4" s="271" t="s">
        <v>173</v>
      </c>
      <c r="C4" s="271"/>
      <c r="D4" s="271"/>
      <c r="E4" s="271"/>
    </row>
    <row r="5" spans="2:5" ht="93.75" customHeight="1">
      <c r="B5" s="270" t="s">
        <v>285</v>
      </c>
      <c r="C5" s="270"/>
      <c r="D5" s="270"/>
      <c r="E5" s="270"/>
    </row>
    <row r="6" spans="2:5" ht="20.25" customHeight="1" thickBot="1">
      <c r="B6" s="272"/>
      <c r="C6" s="272"/>
      <c r="D6" s="272"/>
      <c r="E6" s="272"/>
    </row>
    <row r="7" spans="2:5" ht="16.5" thickBot="1">
      <c r="B7" s="275" t="s">
        <v>286</v>
      </c>
      <c r="C7" s="275"/>
      <c r="D7" s="275" t="s">
        <v>287</v>
      </c>
      <c r="E7" s="275"/>
    </row>
    <row r="8" spans="2:6" ht="15.75" thickBot="1">
      <c r="B8" s="273" t="s">
        <v>288</v>
      </c>
      <c r="C8" s="273"/>
      <c r="D8" s="274" t="s">
        <v>247</v>
      </c>
      <c r="E8" s="274"/>
      <c r="F8" s="3"/>
    </row>
    <row r="9" spans="2:5" ht="15.75" thickBot="1">
      <c r="B9" s="273" t="s">
        <v>289</v>
      </c>
      <c r="C9" s="273"/>
      <c r="D9" s="274" t="s">
        <v>108</v>
      </c>
      <c r="E9" s="274"/>
    </row>
    <row r="10" spans="2:5" ht="15.75" thickBot="1">
      <c r="B10" s="273" t="s">
        <v>246</v>
      </c>
      <c r="C10" s="273"/>
      <c r="D10" s="274" t="s">
        <v>109</v>
      </c>
      <c r="E10" s="274"/>
    </row>
  </sheetData>
  <sheetProtection/>
  <mergeCells count="12">
    <mergeCell ref="B8:C8"/>
    <mergeCell ref="D8:E8"/>
    <mergeCell ref="B3:E3"/>
    <mergeCell ref="B5:E5"/>
    <mergeCell ref="B4:E4"/>
    <mergeCell ref="B6:E6"/>
    <mergeCell ref="B10:C10"/>
    <mergeCell ref="D9:E9"/>
    <mergeCell ref="D10:E10"/>
    <mergeCell ref="B7:C7"/>
    <mergeCell ref="D7:E7"/>
    <mergeCell ref="B9:C9"/>
  </mergeCells>
  <printOptions/>
  <pageMargins left="0.7" right="0.7" top="0.75" bottom="0.75" header="0.3" footer="0.3"/>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A9:Y192"/>
  <sheetViews>
    <sheetView showGridLines="0" zoomScalePageLayoutView="0" workbookViewId="0" topLeftCell="A1">
      <selection activeCell="A1" sqref="A1"/>
    </sheetView>
  </sheetViews>
  <sheetFormatPr defaultColWidth="11.421875" defaultRowHeight="15"/>
  <cols>
    <col min="1" max="1" width="5.140625" style="0" customWidth="1"/>
    <col min="2" max="2" width="17.8515625" style="0" customWidth="1"/>
    <col min="3" max="3" width="11.00390625" style="0" customWidth="1"/>
    <col min="4" max="4" width="13.421875" style="0" customWidth="1"/>
    <col min="5" max="5" width="12.421875" style="0" customWidth="1"/>
    <col min="6" max="6" width="9.7109375" style="0" customWidth="1"/>
    <col min="7" max="7" width="13.140625" style="0" bestFit="1" customWidth="1"/>
    <col min="22" max="22" width="20.140625" style="0" customWidth="1"/>
    <col min="25" max="25" width="13.00390625" style="0" bestFit="1" customWidth="1"/>
  </cols>
  <sheetData>
    <row r="9" spans="6:12" ht="19.5">
      <c r="F9" s="279" t="s">
        <v>500</v>
      </c>
      <c r="G9" s="279"/>
      <c r="H9" s="279"/>
      <c r="I9" s="279"/>
      <c r="J9" s="279"/>
      <c r="K9" s="279"/>
      <c r="L9" s="279"/>
    </row>
    <row r="10" spans="6:12" ht="9" customHeight="1">
      <c r="F10" s="176"/>
      <c r="G10" s="176"/>
      <c r="H10" s="176"/>
      <c r="I10" s="176"/>
      <c r="J10" s="176"/>
      <c r="K10" s="176"/>
      <c r="L10" s="176"/>
    </row>
    <row r="11" spans="6:12" ht="17.25">
      <c r="F11" s="177"/>
      <c r="G11" s="178"/>
      <c r="H11" s="178"/>
      <c r="I11" s="179" t="s">
        <v>501</v>
      </c>
      <c r="J11" s="178"/>
      <c r="K11" s="178"/>
      <c r="L11" s="177"/>
    </row>
    <row r="12" spans="6:12" ht="17.25">
      <c r="F12" s="177"/>
      <c r="G12" s="178"/>
      <c r="H12" s="178"/>
      <c r="I12" s="179" t="s">
        <v>502</v>
      </c>
      <c r="J12" s="178"/>
      <c r="K12" s="178"/>
      <c r="L12" s="177"/>
    </row>
    <row r="13" spans="6:12" ht="17.25">
      <c r="F13" s="177"/>
      <c r="G13" s="178"/>
      <c r="H13" s="180"/>
      <c r="I13" s="179" t="s">
        <v>503</v>
      </c>
      <c r="J13" s="178"/>
      <c r="K13" s="178"/>
      <c r="L13" s="177"/>
    </row>
    <row r="14" spans="7:11" ht="17.25">
      <c r="G14" s="178"/>
      <c r="H14" s="180"/>
      <c r="I14" s="181" t="s">
        <v>504</v>
      </c>
      <c r="J14" s="181"/>
      <c r="K14" s="180"/>
    </row>
    <row r="16" spans="1:2" ht="17.25">
      <c r="A16" s="182" t="s">
        <v>505</v>
      </c>
      <c r="B16" s="183" t="s">
        <v>561</v>
      </c>
    </row>
    <row r="17" ht="15.75" thickBot="1"/>
    <row r="18" spans="2:22" ht="18.75" customHeight="1" thickBot="1">
      <c r="B18" s="184" t="s">
        <v>506</v>
      </c>
      <c r="C18" s="185" t="s">
        <v>507</v>
      </c>
      <c r="D18" s="186" t="s">
        <v>508</v>
      </c>
      <c r="E18" s="186" t="s">
        <v>509</v>
      </c>
      <c r="F18" s="186" t="s">
        <v>510</v>
      </c>
      <c r="G18" s="186" t="s">
        <v>511</v>
      </c>
      <c r="H18" s="186" t="s">
        <v>512</v>
      </c>
      <c r="I18" s="186" t="s">
        <v>513</v>
      </c>
      <c r="J18" s="186" t="s">
        <v>514</v>
      </c>
      <c r="K18" s="186" t="s">
        <v>515</v>
      </c>
      <c r="L18" s="186" t="s">
        <v>516</v>
      </c>
      <c r="M18" s="186" t="s">
        <v>517</v>
      </c>
      <c r="N18" s="186" t="s">
        <v>518</v>
      </c>
      <c r="O18" s="186" t="s">
        <v>519</v>
      </c>
      <c r="P18" s="186" t="s">
        <v>520</v>
      </c>
      <c r="Q18" s="186" t="s">
        <v>521</v>
      </c>
      <c r="R18" s="186" t="s">
        <v>522</v>
      </c>
      <c r="S18" s="186" t="s">
        <v>523</v>
      </c>
      <c r="T18" s="186" t="s">
        <v>524</v>
      </c>
      <c r="U18" s="187" t="s">
        <v>525</v>
      </c>
      <c r="V18" s="188" t="s">
        <v>526</v>
      </c>
    </row>
    <row r="19" spans="2:22" ht="28.5" customHeight="1" thickBot="1">
      <c r="B19" s="189" t="s">
        <v>527</v>
      </c>
      <c r="C19" s="190">
        <v>120106</v>
      </c>
      <c r="D19" s="191">
        <v>119734</v>
      </c>
      <c r="E19" s="191">
        <v>119133</v>
      </c>
      <c r="F19" s="191">
        <v>118737</v>
      </c>
      <c r="G19" s="191">
        <v>118547</v>
      </c>
      <c r="H19" s="191">
        <v>118464</v>
      </c>
      <c r="I19" s="191">
        <v>118379</v>
      </c>
      <c r="J19" s="191">
        <v>118879</v>
      </c>
      <c r="K19" s="191">
        <v>119680</v>
      </c>
      <c r="L19" s="191">
        <v>120788</v>
      </c>
      <c r="M19" s="191">
        <v>121985</v>
      </c>
      <c r="N19" s="191">
        <v>123353</v>
      </c>
      <c r="O19" s="191">
        <v>124697</v>
      </c>
      <c r="P19" s="191">
        <v>126108</v>
      </c>
      <c r="Q19" s="191">
        <v>127583</v>
      </c>
      <c r="R19" s="191">
        <v>128999</v>
      </c>
      <c r="S19" s="191">
        <v>130419</v>
      </c>
      <c r="T19" s="191">
        <v>132040</v>
      </c>
      <c r="U19" s="191">
        <v>132564</v>
      </c>
      <c r="V19" s="192">
        <f>SUM(C19:U19)</f>
        <v>2340195</v>
      </c>
    </row>
    <row r="22" spans="1:2" ht="17.25">
      <c r="A22" s="182" t="s">
        <v>528</v>
      </c>
      <c r="B22" s="183" t="s">
        <v>562</v>
      </c>
    </row>
    <row r="23" ht="15.75" thickBot="1">
      <c r="X23" s="193"/>
    </row>
    <row r="24" spans="1:25" s="196" customFormat="1" ht="21.75" customHeight="1" thickBot="1">
      <c r="A24" s="194"/>
      <c r="B24" s="184" t="s">
        <v>506</v>
      </c>
      <c r="C24" s="185" t="s">
        <v>507</v>
      </c>
      <c r="D24" s="186" t="s">
        <v>508</v>
      </c>
      <c r="E24" s="186" t="s">
        <v>509</v>
      </c>
      <c r="F24" s="186" t="s">
        <v>510</v>
      </c>
      <c r="G24" s="186" t="s">
        <v>511</v>
      </c>
      <c r="H24" s="186" t="s">
        <v>512</v>
      </c>
      <c r="I24" s="186" t="s">
        <v>513</v>
      </c>
      <c r="J24" s="186" t="s">
        <v>514</v>
      </c>
      <c r="K24" s="186" t="s">
        <v>515</v>
      </c>
      <c r="L24" s="186" t="s">
        <v>516</v>
      </c>
      <c r="M24" s="186" t="s">
        <v>517</v>
      </c>
      <c r="N24" s="186" t="s">
        <v>518</v>
      </c>
      <c r="O24" s="186" t="s">
        <v>519</v>
      </c>
      <c r="P24" s="186" t="s">
        <v>520</v>
      </c>
      <c r="Q24" s="186" t="s">
        <v>521</v>
      </c>
      <c r="R24" s="186" t="s">
        <v>522</v>
      </c>
      <c r="S24" s="186" t="s">
        <v>523</v>
      </c>
      <c r="T24" s="186" t="s">
        <v>524</v>
      </c>
      <c r="U24" s="187" t="s">
        <v>525</v>
      </c>
      <c r="V24" s="195" t="s">
        <v>529</v>
      </c>
      <c r="X24" s="193"/>
      <c r="Y24" s="194"/>
    </row>
    <row r="25" spans="1:25" s="196" customFormat="1" ht="24" customHeight="1" thickBot="1">
      <c r="A25" s="197"/>
      <c r="B25" s="198" t="s">
        <v>529</v>
      </c>
      <c r="C25" s="190">
        <v>61442</v>
      </c>
      <c r="D25" s="191">
        <v>61221</v>
      </c>
      <c r="E25" s="191">
        <v>60979</v>
      </c>
      <c r="F25" s="191">
        <v>60825</v>
      </c>
      <c r="G25" s="191">
        <v>60759</v>
      </c>
      <c r="H25" s="191">
        <v>60739</v>
      </c>
      <c r="I25" s="191">
        <v>60718</v>
      </c>
      <c r="J25" s="191">
        <v>60951</v>
      </c>
      <c r="K25" s="191">
        <v>61310</v>
      </c>
      <c r="L25" s="191">
        <v>61796</v>
      </c>
      <c r="M25" s="191">
        <v>62325</v>
      </c>
      <c r="N25" s="191">
        <v>62910</v>
      </c>
      <c r="O25" s="191">
        <v>63458</v>
      </c>
      <c r="P25" s="191">
        <v>64083</v>
      </c>
      <c r="Q25" s="191">
        <v>64815</v>
      </c>
      <c r="R25" s="191">
        <v>65560</v>
      </c>
      <c r="S25" s="191">
        <v>66269</v>
      </c>
      <c r="T25" s="191">
        <v>67035</v>
      </c>
      <c r="U25" s="199">
        <v>67271</v>
      </c>
      <c r="V25" s="200">
        <f>SUM(C25:U25)</f>
        <v>1194466</v>
      </c>
      <c r="X25" s="193"/>
      <c r="Y25" s="194"/>
    </row>
    <row r="28" spans="1:3" ht="17.25">
      <c r="A28" s="182" t="s">
        <v>530</v>
      </c>
      <c r="B28" s="183" t="s">
        <v>563</v>
      </c>
      <c r="C28" s="201"/>
    </row>
    <row r="29" ht="15.75" thickBot="1"/>
    <row r="30" spans="1:22" ht="21" customHeight="1" thickBot="1">
      <c r="A30" s="194"/>
      <c r="B30" s="184" t="s">
        <v>506</v>
      </c>
      <c r="C30" s="185" t="s">
        <v>507</v>
      </c>
      <c r="D30" s="186" t="s">
        <v>508</v>
      </c>
      <c r="E30" s="186" t="s">
        <v>509</v>
      </c>
      <c r="F30" s="186" t="s">
        <v>510</v>
      </c>
      <c r="G30" s="186" t="s">
        <v>511</v>
      </c>
      <c r="H30" s="186" t="s">
        <v>512</v>
      </c>
      <c r="I30" s="186" t="s">
        <v>513</v>
      </c>
      <c r="J30" s="186" t="s">
        <v>514</v>
      </c>
      <c r="K30" s="186" t="s">
        <v>515</v>
      </c>
      <c r="L30" s="186" t="s">
        <v>516</v>
      </c>
      <c r="M30" s="186" t="s">
        <v>517</v>
      </c>
      <c r="N30" s="186" t="s">
        <v>518</v>
      </c>
      <c r="O30" s="186" t="s">
        <v>519</v>
      </c>
      <c r="P30" s="186" t="s">
        <v>520</v>
      </c>
      <c r="Q30" s="186" t="s">
        <v>521</v>
      </c>
      <c r="R30" s="186" t="s">
        <v>522</v>
      </c>
      <c r="S30" s="186" t="s">
        <v>523</v>
      </c>
      <c r="T30" s="186" t="s">
        <v>524</v>
      </c>
      <c r="U30" s="187" t="s">
        <v>525</v>
      </c>
      <c r="V30" s="195" t="s">
        <v>531</v>
      </c>
    </row>
    <row r="31" spans="1:22" ht="24.75" customHeight="1" thickBot="1">
      <c r="A31" s="197"/>
      <c r="B31" s="198" t="s">
        <v>531</v>
      </c>
      <c r="C31" s="190">
        <v>58664</v>
      </c>
      <c r="D31" s="191">
        <v>58513</v>
      </c>
      <c r="E31" s="191">
        <v>58154</v>
      </c>
      <c r="F31" s="191">
        <v>57912</v>
      </c>
      <c r="G31" s="191">
        <v>57788</v>
      </c>
      <c r="H31" s="191">
        <v>57725</v>
      </c>
      <c r="I31" s="191">
        <v>57661</v>
      </c>
      <c r="J31" s="191">
        <v>57928</v>
      </c>
      <c r="K31" s="191">
        <v>58370</v>
      </c>
      <c r="L31" s="191">
        <v>58992</v>
      </c>
      <c r="M31" s="191">
        <v>59660</v>
      </c>
      <c r="N31" s="191">
        <v>60443</v>
      </c>
      <c r="O31" s="191">
        <v>61239</v>
      </c>
      <c r="P31" s="191">
        <v>62025</v>
      </c>
      <c r="Q31" s="191">
        <v>62768</v>
      </c>
      <c r="R31" s="191">
        <v>63439</v>
      </c>
      <c r="S31" s="191">
        <v>64150</v>
      </c>
      <c r="T31" s="191">
        <v>65005</v>
      </c>
      <c r="U31" s="199">
        <v>65293</v>
      </c>
      <c r="V31" s="200">
        <f>SUM(C31:U31)</f>
        <v>1145729</v>
      </c>
    </row>
    <row r="34" spans="2:4" ht="17.25">
      <c r="B34" s="202" t="s">
        <v>532</v>
      </c>
      <c r="D34" s="183"/>
    </row>
    <row r="35" spans="3:9" ht="18" thickBot="1">
      <c r="C35" s="183"/>
      <c r="D35" s="183"/>
      <c r="I35" s="183"/>
    </row>
    <row r="36" spans="3:9" ht="18" thickBot="1">
      <c r="C36" s="286" t="s">
        <v>533</v>
      </c>
      <c r="D36" s="287"/>
      <c r="E36" s="203" t="s">
        <v>534</v>
      </c>
      <c r="I36" s="183"/>
    </row>
    <row r="37" spans="2:10" ht="15.75">
      <c r="B37" s="204" t="s">
        <v>535</v>
      </c>
      <c r="C37" s="280">
        <v>7467804</v>
      </c>
      <c r="D37" s="281"/>
      <c r="E37" s="205">
        <v>100</v>
      </c>
      <c r="J37" s="206"/>
    </row>
    <row r="38" spans="2:10" ht="19.5" customHeight="1">
      <c r="B38" s="207" t="s">
        <v>529</v>
      </c>
      <c r="C38" s="282">
        <v>3601370</v>
      </c>
      <c r="D38" s="283"/>
      <c r="E38" s="208">
        <f>C38*E37/C37</f>
        <v>48.225288183782006</v>
      </c>
      <c r="J38" s="206"/>
    </row>
    <row r="39" spans="2:10" ht="21.75" customHeight="1" thickBot="1">
      <c r="B39" s="209" t="s">
        <v>531</v>
      </c>
      <c r="C39" s="284">
        <v>3866434</v>
      </c>
      <c r="D39" s="285"/>
      <c r="E39" s="210">
        <f>C39*E37/C37</f>
        <v>51.774711816217994</v>
      </c>
      <c r="J39" s="206"/>
    </row>
    <row r="40" ht="17.25">
      <c r="B40" s="183"/>
    </row>
    <row r="41" ht="17.25">
      <c r="B41" s="202" t="s">
        <v>536</v>
      </c>
    </row>
    <row r="42" ht="18" thickBot="1">
      <c r="B42" s="183"/>
    </row>
    <row r="43" spans="2:6" ht="18" thickBot="1">
      <c r="B43" s="276" t="s">
        <v>537</v>
      </c>
      <c r="C43" s="211" t="s">
        <v>534</v>
      </c>
      <c r="D43" s="239"/>
      <c r="E43" s="1"/>
      <c r="F43" s="1"/>
    </row>
    <row r="44" spans="2:7" ht="15.75">
      <c r="B44" s="277"/>
      <c r="C44" s="212">
        <f>V19*E37/C37</f>
        <v>31.33712400593267</v>
      </c>
      <c r="D44" s="213" t="s">
        <v>538</v>
      </c>
      <c r="E44" s="214"/>
      <c r="F44" s="1"/>
      <c r="G44" s="240"/>
    </row>
    <row r="45" spans="2:7" ht="15.75">
      <c r="B45" s="277"/>
      <c r="C45" s="215">
        <f>V25*E37/C38</f>
        <v>33.166989229098924</v>
      </c>
      <c r="D45" s="216" t="s">
        <v>539</v>
      </c>
      <c r="E45" s="217"/>
      <c r="F45" s="1"/>
      <c r="G45" s="240"/>
    </row>
    <row r="46" spans="2:6" ht="16.5" thickBot="1">
      <c r="B46" s="278"/>
      <c r="C46" s="218">
        <f>V31*E37/C39</f>
        <v>29.632705485209367</v>
      </c>
      <c r="D46" s="219" t="s">
        <v>540</v>
      </c>
      <c r="E46" s="220"/>
      <c r="F46" s="1"/>
    </row>
    <row r="49" spans="3:14" ht="19.5">
      <c r="C49" s="241" t="s">
        <v>570</v>
      </c>
      <c r="F49" s="175"/>
      <c r="G49" s="175"/>
      <c r="H49" s="175"/>
      <c r="J49" s="175"/>
      <c r="K49" s="175"/>
      <c r="L49" s="175"/>
      <c r="M49" s="175"/>
      <c r="N49" s="175"/>
    </row>
    <row r="52" spans="3:18" ht="17.25">
      <c r="C52" s="221" t="s">
        <v>541</v>
      </c>
      <c r="H52" s="221" t="s">
        <v>542</v>
      </c>
      <c r="M52" s="221" t="s">
        <v>543</v>
      </c>
      <c r="R52" s="221" t="s">
        <v>544</v>
      </c>
    </row>
    <row r="53" spans="3:21" ht="32.25" customHeight="1">
      <c r="C53" s="222" t="s">
        <v>506</v>
      </c>
      <c r="D53" s="223" t="s">
        <v>564</v>
      </c>
      <c r="E53" s="223" t="s">
        <v>565</v>
      </c>
      <c r="F53" s="223" t="s">
        <v>566</v>
      </c>
      <c r="G53" s="224"/>
      <c r="H53" s="222" t="s">
        <v>506</v>
      </c>
      <c r="I53" s="223" t="s">
        <v>564</v>
      </c>
      <c r="J53" s="223" t="s">
        <v>565</v>
      </c>
      <c r="K53" s="223" t="s">
        <v>566</v>
      </c>
      <c r="L53" s="224"/>
      <c r="M53" s="222" t="s">
        <v>506</v>
      </c>
      <c r="N53" s="223" t="s">
        <v>564</v>
      </c>
      <c r="O53" s="223" t="s">
        <v>565</v>
      </c>
      <c r="P53" s="223" t="s">
        <v>566</v>
      </c>
      <c r="Q53" s="224"/>
      <c r="R53" s="222" t="s">
        <v>506</v>
      </c>
      <c r="S53" s="223" t="s">
        <v>564</v>
      </c>
      <c r="T53" s="223" t="s">
        <v>565</v>
      </c>
      <c r="U53" s="223" t="s">
        <v>566</v>
      </c>
    </row>
    <row r="54" spans="3:21" ht="20.25" customHeight="1">
      <c r="C54" s="225" t="s">
        <v>535</v>
      </c>
      <c r="D54" s="226">
        <v>121857</v>
      </c>
      <c r="E54" s="226">
        <v>60369</v>
      </c>
      <c r="F54" s="226">
        <v>61488</v>
      </c>
      <c r="G54" s="227"/>
      <c r="H54" s="225" t="s">
        <v>535</v>
      </c>
      <c r="I54" s="226">
        <v>25989</v>
      </c>
      <c r="J54" s="226">
        <v>12975</v>
      </c>
      <c r="K54" s="226">
        <v>13014</v>
      </c>
      <c r="L54" s="227"/>
      <c r="M54" s="225" t="s">
        <v>535</v>
      </c>
      <c r="N54" s="226">
        <v>34330</v>
      </c>
      <c r="O54" s="226">
        <v>18172</v>
      </c>
      <c r="P54" s="226">
        <v>16158</v>
      </c>
      <c r="Q54" s="227"/>
      <c r="R54" s="225" t="s">
        <v>535</v>
      </c>
      <c r="S54" s="226">
        <v>144378</v>
      </c>
      <c r="T54" s="226">
        <v>74034</v>
      </c>
      <c r="U54" s="226">
        <v>70344</v>
      </c>
    </row>
    <row r="55" spans="3:21" ht="15.75" customHeight="1">
      <c r="C55" s="242"/>
      <c r="D55" s="243"/>
      <c r="E55" s="243"/>
      <c r="F55" s="243"/>
      <c r="G55" s="227"/>
      <c r="H55" s="242"/>
      <c r="I55" s="243"/>
      <c r="J55" s="243"/>
      <c r="K55" s="243"/>
      <c r="L55" s="227"/>
      <c r="M55" s="242"/>
      <c r="N55" s="243"/>
      <c r="O55" s="243"/>
      <c r="P55" s="243"/>
      <c r="Q55" s="227"/>
      <c r="R55" s="242"/>
      <c r="S55" s="243"/>
      <c r="T55" s="243"/>
      <c r="U55" s="243"/>
    </row>
    <row r="56" spans="3:18" ht="17.25">
      <c r="C56" s="221" t="s">
        <v>545</v>
      </c>
      <c r="H56" s="221" t="s">
        <v>546</v>
      </c>
      <c r="M56" s="221" t="s">
        <v>547</v>
      </c>
      <c r="R56" s="221" t="s">
        <v>548</v>
      </c>
    </row>
    <row r="57" spans="2:23" ht="34.5" customHeight="1">
      <c r="B57" s="228"/>
      <c r="C57" s="222" t="s">
        <v>506</v>
      </c>
      <c r="D57" s="223" t="s">
        <v>564</v>
      </c>
      <c r="E57" s="223" t="s">
        <v>565</v>
      </c>
      <c r="F57" s="223" t="s">
        <v>566</v>
      </c>
      <c r="G57" s="224"/>
      <c r="H57" s="222" t="s">
        <v>506</v>
      </c>
      <c r="I57" s="223" t="s">
        <v>564</v>
      </c>
      <c r="J57" s="223" t="s">
        <v>565</v>
      </c>
      <c r="K57" s="223" t="s">
        <v>566</v>
      </c>
      <c r="L57" s="224"/>
      <c r="M57" s="222" t="s">
        <v>506</v>
      </c>
      <c r="N57" s="223" t="s">
        <v>564</v>
      </c>
      <c r="O57" s="223" t="s">
        <v>565</v>
      </c>
      <c r="P57" s="223" t="s">
        <v>566</v>
      </c>
      <c r="Q57" s="224"/>
      <c r="R57" s="222" t="s">
        <v>506</v>
      </c>
      <c r="S57" s="223" t="s">
        <v>564</v>
      </c>
      <c r="T57" s="223" t="s">
        <v>565</v>
      </c>
      <c r="U57" s="223" t="s">
        <v>566</v>
      </c>
      <c r="V57" s="1"/>
      <c r="W57" s="1"/>
    </row>
    <row r="58" spans="2:23" ht="19.5" customHeight="1">
      <c r="B58" s="228"/>
      <c r="C58" s="225" t="s">
        <v>535</v>
      </c>
      <c r="D58" s="226">
        <v>149360</v>
      </c>
      <c r="E58" s="226">
        <v>77029</v>
      </c>
      <c r="F58" s="226">
        <v>72331</v>
      </c>
      <c r="G58" s="227"/>
      <c r="H58" s="225" t="s">
        <v>535</v>
      </c>
      <c r="I58" s="226">
        <v>64963</v>
      </c>
      <c r="J58" s="226">
        <v>33799</v>
      </c>
      <c r="K58" s="226">
        <v>31164</v>
      </c>
      <c r="L58" s="227"/>
      <c r="M58" s="225" t="s">
        <v>535</v>
      </c>
      <c r="N58" s="226">
        <v>213365</v>
      </c>
      <c r="O58" s="226">
        <v>109396</v>
      </c>
      <c r="P58" s="226">
        <v>103969</v>
      </c>
      <c r="Q58" s="227"/>
      <c r="R58" s="225" t="s">
        <v>535</v>
      </c>
      <c r="S58" s="226">
        <v>327577</v>
      </c>
      <c r="T58" s="226">
        <v>168143</v>
      </c>
      <c r="U58" s="226">
        <v>159434</v>
      </c>
      <c r="V58" s="229"/>
      <c r="W58" s="1"/>
    </row>
    <row r="60" spans="3:18" ht="17.25">
      <c r="C60" s="221" t="s">
        <v>549</v>
      </c>
      <c r="H60" s="221" t="s">
        <v>550</v>
      </c>
      <c r="M60" s="221" t="s">
        <v>551</v>
      </c>
      <c r="R60" s="221" t="s">
        <v>552</v>
      </c>
    </row>
    <row r="61" spans="3:21" ht="33" customHeight="1">
      <c r="C61" s="222" t="s">
        <v>506</v>
      </c>
      <c r="D61" s="223" t="s">
        <v>564</v>
      </c>
      <c r="E61" s="223" t="s">
        <v>565</v>
      </c>
      <c r="F61" s="223" t="s">
        <v>566</v>
      </c>
      <c r="G61" s="224"/>
      <c r="H61" s="222" t="s">
        <v>506</v>
      </c>
      <c r="I61" s="223" t="s">
        <v>564</v>
      </c>
      <c r="J61" s="223" t="s">
        <v>565</v>
      </c>
      <c r="K61" s="223" t="s">
        <v>566</v>
      </c>
      <c r="L61" s="224"/>
      <c r="M61" s="222" t="s">
        <v>506</v>
      </c>
      <c r="N61" s="223" t="s">
        <v>564</v>
      </c>
      <c r="O61" s="223" t="s">
        <v>565</v>
      </c>
      <c r="P61" s="223" t="s">
        <v>566</v>
      </c>
      <c r="Q61" s="224"/>
      <c r="R61" s="222" t="s">
        <v>506</v>
      </c>
      <c r="S61" s="223" t="s">
        <v>564</v>
      </c>
      <c r="T61" s="223" t="s">
        <v>565</v>
      </c>
      <c r="U61" s="223" t="s">
        <v>566</v>
      </c>
    </row>
    <row r="62" spans="3:21" ht="20.25" customHeight="1">
      <c r="C62" s="225" t="s">
        <v>535</v>
      </c>
      <c r="D62" s="226">
        <v>101438</v>
      </c>
      <c r="E62" s="226">
        <v>50938</v>
      </c>
      <c r="F62" s="226">
        <v>50500</v>
      </c>
      <c r="G62" s="227"/>
      <c r="H62" s="225" t="s">
        <v>535</v>
      </c>
      <c r="I62" s="226">
        <v>238730</v>
      </c>
      <c r="J62" s="226">
        <v>121017</v>
      </c>
      <c r="K62" s="226">
        <v>117713</v>
      </c>
      <c r="L62" s="227"/>
      <c r="M62" s="225" t="s">
        <v>535</v>
      </c>
      <c r="N62" s="226">
        <v>325176</v>
      </c>
      <c r="O62" s="226">
        <v>163246</v>
      </c>
      <c r="P62" s="226">
        <v>161930</v>
      </c>
      <c r="Q62" s="227"/>
      <c r="R62" s="225" t="s">
        <v>535</v>
      </c>
      <c r="S62" s="226">
        <v>55065</v>
      </c>
      <c r="T62" s="226">
        <v>28321</v>
      </c>
      <c r="U62" s="226">
        <v>26744</v>
      </c>
    </row>
    <row r="64" spans="3:18" ht="17.25">
      <c r="C64" s="221" t="s">
        <v>553</v>
      </c>
      <c r="H64" s="221" t="s">
        <v>554</v>
      </c>
      <c r="M64" s="221" t="s">
        <v>555</v>
      </c>
      <c r="R64" s="221" t="s">
        <v>556</v>
      </c>
    </row>
    <row r="65" spans="3:21" ht="47.25">
      <c r="C65" s="222" t="s">
        <v>506</v>
      </c>
      <c r="D65" s="223" t="s">
        <v>564</v>
      </c>
      <c r="E65" s="223" t="s">
        <v>565</v>
      </c>
      <c r="F65" s="223" t="s">
        <v>566</v>
      </c>
      <c r="G65" s="224"/>
      <c r="H65" s="222" t="s">
        <v>506</v>
      </c>
      <c r="I65" s="223" t="s">
        <v>564</v>
      </c>
      <c r="J65" s="223" t="s">
        <v>565</v>
      </c>
      <c r="K65" s="223" t="s">
        <v>566</v>
      </c>
      <c r="L65" s="224"/>
      <c r="M65" s="222" t="s">
        <v>506</v>
      </c>
      <c r="N65" s="223" t="s">
        <v>564</v>
      </c>
      <c r="O65" s="223" t="s">
        <v>565</v>
      </c>
      <c r="P65" s="223" t="s">
        <v>566</v>
      </c>
      <c r="Q65" s="224"/>
      <c r="R65" s="222" t="s">
        <v>506</v>
      </c>
      <c r="S65" s="223" t="s">
        <v>564</v>
      </c>
      <c r="T65" s="223" t="s">
        <v>565</v>
      </c>
      <c r="U65" s="223" t="s">
        <v>566</v>
      </c>
    </row>
    <row r="66" spans="3:21" ht="20.25" customHeight="1">
      <c r="C66" s="222" t="s">
        <v>535</v>
      </c>
      <c r="D66" s="226">
        <v>28643</v>
      </c>
      <c r="E66" s="226">
        <v>14316</v>
      </c>
      <c r="F66" s="226">
        <v>14327</v>
      </c>
      <c r="H66" s="222" t="s">
        <v>535</v>
      </c>
      <c r="I66" s="226">
        <v>26306</v>
      </c>
      <c r="J66" s="226">
        <v>13948</v>
      </c>
      <c r="K66" s="226">
        <v>12358</v>
      </c>
      <c r="M66" s="222" t="s">
        <v>535</v>
      </c>
      <c r="N66" s="226">
        <v>32798</v>
      </c>
      <c r="O66" s="226">
        <v>16855</v>
      </c>
      <c r="P66" s="226">
        <v>15943</v>
      </c>
      <c r="R66" s="222" t="s">
        <v>535</v>
      </c>
      <c r="S66" s="226">
        <v>69141</v>
      </c>
      <c r="T66" s="226">
        <v>35839</v>
      </c>
      <c r="U66" s="226">
        <v>33302</v>
      </c>
    </row>
    <row r="67" ht="15">
      <c r="V67" s="193"/>
    </row>
    <row r="68" spans="3:18" ht="17.25">
      <c r="C68" s="221" t="s">
        <v>557</v>
      </c>
      <c r="H68" s="221" t="s">
        <v>558</v>
      </c>
      <c r="M68" s="221" t="s">
        <v>559</v>
      </c>
      <c r="R68" s="221" t="s">
        <v>560</v>
      </c>
    </row>
    <row r="69" spans="3:21" ht="47.25">
      <c r="C69" s="222" t="s">
        <v>506</v>
      </c>
      <c r="D69" s="223" t="s">
        <v>564</v>
      </c>
      <c r="E69" s="223" t="s">
        <v>565</v>
      </c>
      <c r="F69" s="223" t="s">
        <v>566</v>
      </c>
      <c r="G69" s="224"/>
      <c r="H69" s="222" t="s">
        <v>506</v>
      </c>
      <c r="I69" s="223" t="s">
        <v>564</v>
      </c>
      <c r="J69" s="223" t="s">
        <v>565</v>
      </c>
      <c r="K69" s="223" t="s">
        <v>566</v>
      </c>
      <c r="L69" s="224"/>
      <c r="M69" s="222" t="s">
        <v>506</v>
      </c>
      <c r="N69" s="223" t="s">
        <v>564</v>
      </c>
      <c r="O69" s="223" t="s">
        <v>565</v>
      </c>
      <c r="P69" s="223" t="s">
        <v>566</v>
      </c>
      <c r="Q69" s="224"/>
      <c r="R69" s="222" t="s">
        <v>506</v>
      </c>
      <c r="S69" s="223" t="s">
        <v>564</v>
      </c>
      <c r="T69" s="223" t="s">
        <v>565</v>
      </c>
      <c r="U69" s="223" t="s">
        <v>566</v>
      </c>
    </row>
    <row r="70" spans="3:21" ht="21" customHeight="1">
      <c r="C70" s="225" t="s">
        <v>535</v>
      </c>
      <c r="D70" s="226">
        <v>5976</v>
      </c>
      <c r="E70" s="226">
        <v>3314</v>
      </c>
      <c r="F70" s="226">
        <v>2662</v>
      </c>
      <c r="G70" s="227"/>
      <c r="H70" s="225" t="s">
        <v>535</v>
      </c>
      <c r="I70" s="226">
        <v>125259</v>
      </c>
      <c r="J70" s="226">
        <v>64667</v>
      </c>
      <c r="K70" s="226">
        <v>60592</v>
      </c>
      <c r="L70" s="227"/>
      <c r="M70" s="225" t="s">
        <v>535</v>
      </c>
      <c r="N70" s="226">
        <v>247439</v>
      </c>
      <c r="O70" s="226">
        <v>126783</v>
      </c>
      <c r="P70" s="226">
        <v>120656</v>
      </c>
      <c r="Q70" s="227"/>
      <c r="R70" s="225" t="s">
        <v>535</v>
      </c>
      <c r="S70" s="226">
        <v>2405</v>
      </c>
      <c r="T70" s="226">
        <v>1305</v>
      </c>
      <c r="U70" s="226">
        <v>1100</v>
      </c>
    </row>
    <row r="73" ht="19.5">
      <c r="C73" s="241" t="s">
        <v>570</v>
      </c>
    </row>
    <row r="75" spans="3:18" ht="17.25">
      <c r="C75" s="221" t="s">
        <v>541</v>
      </c>
      <c r="H75" s="221" t="s">
        <v>542</v>
      </c>
      <c r="M75" s="221" t="s">
        <v>543</v>
      </c>
      <c r="R75" s="221" t="s">
        <v>544</v>
      </c>
    </row>
    <row r="76" spans="3:21" ht="47.25">
      <c r="C76" s="225" t="s">
        <v>506</v>
      </c>
      <c r="D76" s="232" t="s">
        <v>564</v>
      </c>
      <c r="E76" s="232" t="s">
        <v>565</v>
      </c>
      <c r="F76" s="232" t="s">
        <v>566</v>
      </c>
      <c r="G76" s="227"/>
      <c r="H76" s="225" t="s">
        <v>506</v>
      </c>
      <c r="I76" s="232" t="s">
        <v>564</v>
      </c>
      <c r="J76" s="232" t="s">
        <v>565</v>
      </c>
      <c r="K76" s="232" t="s">
        <v>566</v>
      </c>
      <c r="L76" s="227"/>
      <c r="M76" s="225" t="s">
        <v>506</v>
      </c>
      <c r="N76" s="232" t="s">
        <v>564</v>
      </c>
      <c r="O76" s="232" t="s">
        <v>565</v>
      </c>
      <c r="P76" s="232" t="s">
        <v>566</v>
      </c>
      <c r="Q76" s="227"/>
      <c r="R76" s="225" t="s">
        <v>506</v>
      </c>
      <c r="S76" s="232" t="s">
        <v>564</v>
      </c>
      <c r="T76" s="232" t="s">
        <v>565</v>
      </c>
      <c r="U76" s="232" t="s">
        <v>566</v>
      </c>
    </row>
    <row r="77" spans="3:21" ht="15.75">
      <c r="C77" s="225" t="s">
        <v>535</v>
      </c>
      <c r="D77" s="226">
        <v>121857</v>
      </c>
      <c r="E77" s="226">
        <v>60369</v>
      </c>
      <c r="F77" s="226">
        <v>61488</v>
      </c>
      <c r="G77" s="227"/>
      <c r="H77" s="225" t="s">
        <v>535</v>
      </c>
      <c r="I77" s="226">
        <v>25989</v>
      </c>
      <c r="J77" s="226">
        <v>12975</v>
      </c>
      <c r="K77" s="226">
        <v>13014</v>
      </c>
      <c r="L77" s="227"/>
      <c r="M77" s="225" t="s">
        <v>535</v>
      </c>
      <c r="N77" s="226">
        <v>34330</v>
      </c>
      <c r="O77" s="226">
        <v>18172</v>
      </c>
      <c r="P77" s="226">
        <v>16158</v>
      </c>
      <c r="Q77" s="227"/>
      <c r="R77" s="225" t="s">
        <v>535</v>
      </c>
      <c r="S77" s="226">
        <v>144378</v>
      </c>
      <c r="T77" s="226">
        <v>74034</v>
      </c>
      <c r="U77" s="226">
        <v>70344</v>
      </c>
    </row>
    <row r="78" spans="3:21" ht="15.75">
      <c r="C78" s="244" t="s">
        <v>507</v>
      </c>
      <c r="D78" s="245">
        <v>5790</v>
      </c>
      <c r="E78" s="245">
        <v>2877</v>
      </c>
      <c r="F78" s="245">
        <v>2913</v>
      </c>
      <c r="G78" s="246"/>
      <c r="H78" s="244" t="s">
        <v>507</v>
      </c>
      <c r="I78" s="245">
        <v>1285</v>
      </c>
      <c r="J78" s="245">
        <v>642</v>
      </c>
      <c r="K78" s="245">
        <v>643</v>
      </c>
      <c r="L78" s="246"/>
      <c r="M78" s="244" t="s">
        <v>507</v>
      </c>
      <c r="N78" s="245">
        <v>1818</v>
      </c>
      <c r="O78" s="245">
        <v>960</v>
      </c>
      <c r="P78" s="245">
        <v>858</v>
      </c>
      <c r="Q78" s="246"/>
      <c r="R78" s="244" t="s">
        <v>507</v>
      </c>
      <c r="S78" s="245">
        <v>7426</v>
      </c>
      <c r="T78" s="245">
        <v>3821</v>
      </c>
      <c r="U78" s="245">
        <v>3605</v>
      </c>
    </row>
    <row r="79" spans="3:21" ht="15.75">
      <c r="C79" s="244" t="s">
        <v>508</v>
      </c>
      <c r="D79" s="245">
        <v>5800</v>
      </c>
      <c r="E79" s="245">
        <v>2878</v>
      </c>
      <c r="F79" s="245">
        <v>2922</v>
      </c>
      <c r="G79" s="246"/>
      <c r="H79" s="244" t="s">
        <v>508</v>
      </c>
      <c r="I79" s="245">
        <v>1260</v>
      </c>
      <c r="J79" s="245">
        <v>630</v>
      </c>
      <c r="K79" s="245">
        <v>630</v>
      </c>
      <c r="L79" s="246"/>
      <c r="M79" s="244" t="s">
        <v>508</v>
      </c>
      <c r="N79" s="245">
        <v>1785</v>
      </c>
      <c r="O79" s="245">
        <v>948</v>
      </c>
      <c r="P79" s="245">
        <v>837</v>
      </c>
      <c r="Q79" s="246"/>
      <c r="R79" s="244" t="s">
        <v>508</v>
      </c>
      <c r="S79" s="245">
        <v>7336</v>
      </c>
      <c r="T79" s="245">
        <v>3766</v>
      </c>
      <c r="U79" s="245">
        <v>3570</v>
      </c>
    </row>
    <row r="80" spans="3:21" ht="15.75">
      <c r="C80" s="244" t="s">
        <v>509</v>
      </c>
      <c r="D80" s="245">
        <v>5818</v>
      </c>
      <c r="E80" s="245">
        <v>2891</v>
      </c>
      <c r="F80" s="245">
        <v>2927</v>
      </c>
      <c r="G80" s="246"/>
      <c r="H80" s="244" t="s">
        <v>509</v>
      </c>
      <c r="I80" s="245">
        <v>1226</v>
      </c>
      <c r="J80" s="245">
        <v>614</v>
      </c>
      <c r="K80" s="245">
        <v>612</v>
      </c>
      <c r="L80" s="246"/>
      <c r="M80" s="244" t="s">
        <v>509</v>
      </c>
      <c r="N80" s="245">
        <v>1760</v>
      </c>
      <c r="O80" s="245">
        <v>934</v>
      </c>
      <c r="P80" s="245">
        <v>826</v>
      </c>
      <c r="Q80" s="246"/>
      <c r="R80" s="244" t="s">
        <v>509</v>
      </c>
      <c r="S80" s="245">
        <v>7286</v>
      </c>
      <c r="T80" s="245">
        <v>3746</v>
      </c>
      <c r="U80" s="245">
        <v>3540</v>
      </c>
    </row>
    <row r="81" spans="3:21" ht="15.75">
      <c r="C81" s="244" t="s">
        <v>510</v>
      </c>
      <c r="D81" s="245">
        <v>5839</v>
      </c>
      <c r="E81" s="245">
        <v>2904</v>
      </c>
      <c r="F81" s="245">
        <v>2935</v>
      </c>
      <c r="G81" s="231"/>
      <c r="H81" s="244" t="s">
        <v>510</v>
      </c>
      <c r="I81" s="245">
        <v>1193</v>
      </c>
      <c r="J81" s="245">
        <v>598</v>
      </c>
      <c r="K81" s="245">
        <v>595</v>
      </c>
      <c r="L81" s="231"/>
      <c r="M81" s="244" t="s">
        <v>510</v>
      </c>
      <c r="N81" s="245">
        <v>1740</v>
      </c>
      <c r="O81" s="245">
        <v>924</v>
      </c>
      <c r="P81" s="245">
        <v>816</v>
      </c>
      <c r="Q81" s="231"/>
      <c r="R81" s="244" t="s">
        <v>510</v>
      </c>
      <c r="S81" s="245">
        <v>7261</v>
      </c>
      <c r="T81" s="245">
        <v>3736</v>
      </c>
      <c r="U81" s="245">
        <v>3525</v>
      </c>
    </row>
    <row r="82" spans="3:21" ht="15.75">
      <c r="C82" s="244" t="s">
        <v>511</v>
      </c>
      <c r="D82" s="245">
        <v>5863</v>
      </c>
      <c r="E82" s="245">
        <v>2918</v>
      </c>
      <c r="F82" s="245">
        <v>2945</v>
      </c>
      <c r="G82" s="231"/>
      <c r="H82" s="244" t="s">
        <v>511</v>
      </c>
      <c r="I82" s="245">
        <v>1166</v>
      </c>
      <c r="J82" s="245">
        <v>585</v>
      </c>
      <c r="K82" s="245">
        <v>581</v>
      </c>
      <c r="L82" s="231"/>
      <c r="M82" s="244" t="s">
        <v>511</v>
      </c>
      <c r="N82" s="245">
        <v>1725</v>
      </c>
      <c r="O82" s="245">
        <v>917</v>
      </c>
      <c r="P82" s="245">
        <v>808</v>
      </c>
      <c r="Q82" s="231"/>
      <c r="R82" s="244" t="s">
        <v>511</v>
      </c>
      <c r="S82" s="245">
        <v>7257</v>
      </c>
      <c r="T82" s="245">
        <v>3736</v>
      </c>
      <c r="U82" s="245">
        <v>3521</v>
      </c>
    </row>
    <row r="83" spans="3:21" ht="15.75">
      <c r="C83" s="244" t="s">
        <v>512</v>
      </c>
      <c r="D83" s="245">
        <v>5903</v>
      </c>
      <c r="E83" s="245">
        <v>2939</v>
      </c>
      <c r="F83" s="245">
        <v>2964</v>
      </c>
      <c r="G83" s="231"/>
      <c r="H83" s="244" t="s">
        <v>512</v>
      </c>
      <c r="I83" s="245">
        <v>1155</v>
      </c>
      <c r="J83" s="245">
        <v>580</v>
      </c>
      <c r="K83" s="245">
        <v>575</v>
      </c>
      <c r="L83" s="231"/>
      <c r="M83" s="244" t="s">
        <v>512</v>
      </c>
      <c r="N83" s="245">
        <v>1715</v>
      </c>
      <c r="O83" s="245">
        <v>912</v>
      </c>
      <c r="P83" s="245">
        <v>803</v>
      </c>
      <c r="Q83" s="231"/>
      <c r="R83" s="244" t="s">
        <v>512</v>
      </c>
      <c r="S83" s="245">
        <v>7254</v>
      </c>
      <c r="T83" s="245">
        <v>3736</v>
      </c>
      <c r="U83" s="245">
        <v>3518</v>
      </c>
    </row>
    <row r="84" spans="3:21" ht="15.75">
      <c r="C84" s="244" t="s">
        <v>513</v>
      </c>
      <c r="D84" s="245">
        <v>5941</v>
      </c>
      <c r="E84" s="245">
        <v>2958</v>
      </c>
      <c r="F84" s="245">
        <v>2983</v>
      </c>
      <c r="G84" s="231"/>
      <c r="H84" s="244" t="s">
        <v>513</v>
      </c>
      <c r="I84" s="245">
        <v>1143</v>
      </c>
      <c r="J84" s="245">
        <v>574</v>
      </c>
      <c r="K84" s="245">
        <v>569</v>
      </c>
      <c r="L84" s="231"/>
      <c r="M84" s="244" t="s">
        <v>513</v>
      </c>
      <c r="N84" s="245">
        <v>1705</v>
      </c>
      <c r="O84" s="245">
        <v>907</v>
      </c>
      <c r="P84" s="245">
        <v>798</v>
      </c>
      <c r="Q84" s="231"/>
      <c r="R84" s="244" t="s">
        <v>513</v>
      </c>
      <c r="S84" s="245">
        <v>7250</v>
      </c>
      <c r="T84" s="245">
        <v>3735</v>
      </c>
      <c r="U84" s="245">
        <v>3515</v>
      </c>
    </row>
    <row r="85" spans="3:21" ht="15.75">
      <c r="C85" s="244" t="s">
        <v>514</v>
      </c>
      <c r="D85" s="245">
        <v>5977</v>
      </c>
      <c r="E85" s="245">
        <v>2975</v>
      </c>
      <c r="F85" s="245">
        <v>3002</v>
      </c>
      <c r="G85" s="231"/>
      <c r="H85" s="244" t="s">
        <v>514</v>
      </c>
      <c r="I85" s="245">
        <v>1129</v>
      </c>
      <c r="J85" s="245">
        <v>566</v>
      </c>
      <c r="K85" s="245">
        <v>563</v>
      </c>
      <c r="L85" s="231"/>
      <c r="M85" s="244" t="s">
        <v>514</v>
      </c>
      <c r="N85" s="245">
        <v>1709</v>
      </c>
      <c r="O85" s="245">
        <v>909</v>
      </c>
      <c r="P85" s="245">
        <v>800</v>
      </c>
      <c r="Q85" s="231"/>
      <c r="R85" s="244" t="s">
        <v>514</v>
      </c>
      <c r="S85" s="245">
        <v>7322</v>
      </c>
      <c r="T85" s="245">
        <v>3771</v>
      </c>
      <c r="U85" s="245">
        <v>3551</v>
      </c>
    </row>
    <row r="86" spans="3:21" ht="15.75">
      <c r="C86" s="244" t="s">
        <v>515</v>
      </c>
      <c r="D86" s="245">
        <v>6038</v>
      </c>
      <c r="E86" s="245">
        <v>3003</v>
      </c>
      <c r="F86" s="245">
        <v>3035</v>
      </c>
      <c r="G86" s="231"/>
      <c r="H86" s="244" t="s">
        <v>515</v>
      </c>
      <c r="I86" s="245">
        <v>1128</v>
      </c>
      <c r="J86" s="245">
        <v>566</v>
      </c>
      <c r="K86" s="245">
        <v>562</v>
      </c>
      <c r="L86" s="231"/>
      <c r="M86" s="244" t="s">
        <v>515</v>
      </c>
      <c r="N86" s="245">
        <v>1720</v>
      </c>
      <c r="O86" s="245">
        <v>914</v>
      </c>
      <c r="P86" s="245">
        <v>806</v>
      </c>
      <c r="Q86" s="231"/>
      <c r="R86" s="244" t="s">
        <v>515</v>
      </c>
      <c r="S86" s="245">
        <v>7415</v>
      </c>
      <c r="T86" s="245">
        <v>3816</v>
      </c>
      <c r="U86" s="245">
        <v>3599</v>
      </c>
    </row>
    <row r="87" spans="3:21" ht="15.75">
      <c r="C87" s="244" t="s">
        <v>516</v>
      </c>
      <c r="D87" s="245">
        <v>6131</v>
      </c>
      <c r="E87" s="245">
        <v>3045</v>
      </c>
      <c r="F87" s="245">
        <v>3086</v>
      </c>
      <c r="G87" s="231"/>
      <c r="H87" s="244" t="s">
        <v>516</v>
      </c>
      <c r="I87" s="245">
        <v>1148</v>
      </c>
      <c r="J87" s="245">
        <v>575</v>
      </c>
      <c r="K87" s="245">
        <v>573</v>
      </c>
      <c r="L87" s="231"/>
      <c r="M87" s="244" t="s">
        <v>516</v>
      </c>
      <c r="N87" s="245">
        <v>1737</v>
      </c>
      <c r="O87" s="245">
        <v>922</v>
      </c>
      <c r="P87" s="245">
        <v>815</v>
      </c>
      <c r="Q87" s="231"/>
      <c r="R87" s="244" t="s">
        <v>516</v>
      </c>
      <c r="S87" s="245">
        <v>7520</v>
      </c>
      <c r="T87" s="245">
        <v>3865</v>
      </c>
      <c r="U87" s="245">
        <v>3655</v>
      </c>
    </row>
    <row r="88" spans="3:21" ht="15.75">
      <c r="C88" s="244" t="s">
        <v>517</v>
      </c>
      <c r="D88" s="245">
        <v>6250</v>
      </c>
      <c r="E88" s="245">
        <v>3099</v>
      </c>
      <c r="F88" s="245">
        <v>3151</v>
      </c>
      <c r="G88" s="231"/>
      <c r="H88" s="244" t="s">
        <v>517</v>
      </c>
      <c r="I88" s="245">
        <v>1182</v>
      </c>
      <c r="J88" s="245">
        <v>591</v>
      </c>
      <c r="K88" s="245">
        <v>591</v>
      </c>
      <c r="L88" s="231"/>
      <c r="M88" s="244" t="s">
        <v>517</v>
      </c>
      <c r="N88" s="245">
        <v>1761</v>
      </c>
      <c r="O88" s="245">
        <v>933</v>
      </c>
      <c r="P88" s="245">
        <v>828</v>
      </c>
      <c r="Q88" s="231"/>
      <c r="R88" s="244" t="s">
        <v>517</v>
      </c>
      <c r="S88" s="245">
        <v>7630</v>
      </c>
      <c r="T88" s="245">
        <v>3915</v>
      </c>
      <c r="U88" s="245">
        <v>3715</v>
      </c>
    </row>
    <row r="89" spans="3:21" ht="15.75">
      <c r="C89" s="244" t="s">
        <v>518</v>
      </c>
      <c r="D89" s="245">
        <v>6367</v>
      </c>
      <c r="E89" s="245">
        <v>3151</v>
      </c>
      <c r="F89" s="245">
        <v>3216</v>
      </c>
      <c r="G89" s="231"/>
      <c r="H89" s="244" t="s">
        <v>518</v>
      </c>
      <c r="I89" s="245">
        <v>1219</v>
      </c>
      <c r="J89" s="245">
        <v>608</v>
      </c>
      <c r="K89" s="245">
        <v>611</v>
      </c>
      <c r="L89" s="231"/>
      <c r="M89" s="244" t="s">
        <v>518</v>
      </c>
      <c r="N89" s="245">
        <v>1787</v>
      </c>
      <c r="O89" s="245">
        <v>945</v>
      </c>
      <c r="P89" s="245">
        <v>842</v>
      </c>
      <c r="Q89" s="231"/>
      <c r="R89" s="244" t="s">
        <v>518</v>
      </c>
      <c r="S89" s="245">
        <v>7745</v>
      </c>
      <c r="T89" s="245">
        <v>3967</v>
      </c>
      <c r="U89" s="245">
        <v>3778</v>
      </c>
    </row>
    <row r="90" spans="3:21" ht="15.75">
      <c r="C90" s="244" t="s">
        <v>519</v>
      </c>
      <c r="D90" s="245">
        <v>6472</v>
      </c>
      <c r="E90" s="245">
        <v>3196</v>
      </c>
      <c r="F90" s="245">
        <v>3276</v>
      </c>
      <c r="G90" s="231"/>
      <c r="H90" s="244" t="s">
        <v>519</v>
      </c>
      <c r="I90" s="245">
        <v>1254</v>
      </c>
      <c r="J90" s="245">
        <v>625</v>
      </c>
      <c r="K90" s="245">
        <v>629</v>
      </c>
      <c r="L90" s="231"/>
      <c r="M90" s="244" t="s">
        <v>519</v>
      </c>
      <c r="N90" s="245">
        <v>1814</v>
      </c>
      <c r="O90" s="245">
        <v>958</v>
      </c>
      <c r="P90" s="245">
        <v>856</v>
      </c>
      <c r="Q90" s="231"/>
      <c r="R90" s="244" t="s">
        <v>519</v>
      </c>
      <c r="S90" s="245">
        <v>7861</v>
      </c>
      <c r="T90" s="245">
        <v>4019</v>
      </c>
      <c r="U90" s="245">
        <v>3842</v>
      </c>
    </row>
    <row r="91" spans="3:21" ht="15.75">
      <c r="C91" s="244" t="s">
        <v>520</v>
      </c>
      <c r="D91" s="245">
        <v>6629</v>
      </c>
      <c r="E91" s="245">
        <v>3269</v>
      </c>
      <c r="F91" s="245">
        <v>3360</v>
      </c>
      <c r="G91" s="231"/>
      <c r="H91" s="244" t="s">
        <v>520</v>
      </c>
      <c r="I91" s="245">
        <v>1331</v>
      </c>
      <c r="J91" s="245">
        <v>662</v>
      </c>
      <c r="K91" s="245">
        <v>669</v>
      </c>
      <c r="L91" s="231"/>
      <c r="M91" s="244" t="s">
        <v>520</v>
      </c>
      <c r="N91" s="245">
        <v>1842</v>
      </c>
      <c r="O91" s="245">
        <v>971</v>
      </c>
      <c r="P91" s="245">
        <v>871</v>
      </c>
      <c r="Q91" s="231"/>
      <c r="R91" s="244" t="s">
        <v>520</v>
      </c>
      <c r="S91" s="245">
        <v>7943</v>
      </c>
      <c r="T91" s="245">
        <v>4055</v>
      </c>
      <c r="U91" s="245">
        <v>3888</v>
      </c>
    </row>
    <row r="92" spans="3:21" ht="15.75">
      <c r="C92" s="244" t="s">
        <v>521</v>
      </c>
      <c r="D92" s="245">
        <v>6860</v>
      </c>
      <c r="E92" s="245">
        <v>3382</v>
      </c>
      <c r="F92" s="245">
        <v>3478</v>
      </c>
      <c r="G92" s="231"/>
      <c r="H92" s="244" t="s">
        <v>521</v>
      </c>
      <c r="I92" s="245">
        <v>1470</v>
      </c>
      <c r="J92" s="245">
        <v>731</v>
      </c>
      <c r="K92" s="245">
        <v>739</v>
      </c>
      <c r="L92" s="231"/>
      <c r="M92" s="244" t="s">
        <v>521</v>
      </c>
      <c r="N92" s="245">
        <v>1875</v>
      </c>
      <c r="O92" s="245">
        <v>988</v>
      </c>
      <c r="P92" s="245">
        <v>887</v>
      </c>
      <c r="Q92" s="231"/>
      <c r="R92" s="244" t="s">
        <v>521</v>
      </c>
      <c r="S92" s="245">
        <v>7972</v>
      </c>
      <c r="T92" s="245">
        <v>4069</v>
      </c>
      <c r="U92" s="245">
        <v>3903</v>
      </c>
    </row>
    <row r="93" spans="3:21" ht="15.75">
      <c r="C93" s="244" t="s">
        <v>522</v>
      </c>
      <c r="D93" s="245">
        <v>7098</v>
      </c>
      <c r="E93" s="245">
        <v>3503</v>
      </c>
      <c r="F93" s="245">
        <v>3595</v>
      </c>
      <c r="G93" s="231"/>
      <c r="H93" s="244" t="s">
        <v>522</v>
      </c>
      <c r="I93" s="245">
        <v>1632</v>
      </c>
      <c r="J93" s="245">
        <v>812</v>
      </c>
      <c r="K93" s="245">
        <v>820</v>
      </c>
      <c r="L93" s="231"/>
      <c r="M93" s="244" t="s">
        <v>522</v>
      </c>
      <c r="N93" s="245">
        <v>1911</v>
      </c>
      <c r="O93" s="245">
        <v>1008</v>
      </c>
      <c r="P93" s="245">
        <v>903</v>
      </c>
      <c r="Q93" s="231"/>
      <c r="R93" s="244" t="s">
        <v>522</v>
      </c>
      <c r="S93" s="245">
        <v>8023</v>
      </c>
      <c r="T93" s="245">
        <v>4097</v>
      </c>
      <c r="U93" s="245">
        <v>3926</v>
      </c>
    </row>
    <row r="94" spans="3:21" ht="15.75">
      <c r="C94" s="244" t="s">
        <v>523</v>
      </c>
      <c r="D94" s="245">
        <v>7407</v>
      </c>
      <c r="E94" s="245">
        <v>3655</v>
      </c>
      <c r="F94" s="245">
        <v>3752</v>
      </c>
      <c r="G94" s="231"/>
      <c r="H94" s="244" t="s">
        <v>523</v>
      </c>
      <c r="I94" s="245">
        <v>1830</v>
      </c>
      <c r="J94" s="245">
        <v>910</v>
      </c>
      <c r="K94" s="245">
        <v>920</v>
      </c>
      <c r="L94" s="231"/>
      <c r="M94" s="244" t="s">
        <v>523</v>
      </c>
      <c r="N94" s="245">
        <v>1945</v>
      </c>
      <c r="O94" s="245">
        <v>1025</v>
      </c>
      <c r="P94" s="245">
        <v>920</v>
      </c>
      <c r="Q94" s="231"/>
      <c r="R94" s="244" t="s">
        <v>523</v>
      </c>
      <c r="S94" s="245">
        <v>8003</v>
      </c>
      <c r="T94" s="245">
        <v>4086</v>
      </c>
      <c r="U94" s="245">
        <v>3917</v>
      </c>
    </row>
    <row r="95" spans="3:21" ht="15.75">
      <c r="C95" s="244" t="s">
        <v>524</v>
      </c>
      <c r="D95" s="245">
        <v>7730</v>
      </c>
      <c r="E95" s="245">
        <v>3811</v>
      </c>
      <c r="F95" s="245">
        <v>3919</v>
      </c>
      <c r="G95" s="231"/>
      <c r="H95" s="244" t="s">
        <v>524</v>
      </c>
      <c r="I95" s="245">
        <v>2032</v>
      </c>
      <c r="J95" s="245">
        <v>1010</v>
      </c>
      <c r="K95" s="245">
        <v>1022</v>
      </c>
      <c r="L95" s="231"/>
      <c r="M95" s="244" t="s">
        <v>524</v>
      </c>
      <c r="N95" s="245">
        <v>1982</v>
      </c>
      <c r="O95" s="245">
        <v>1044</v>
      </c>
      <c r="P95" s="245">
        <v>938</v>
      </c>
      <c r="Q95" s="231"/>
      <c r="R95" s="244" t="s">
        <v>524</v>
      </c>
      <c r="S95" s="245">
        <v>7987</v>
      </c>
      <c r="T95" s="245">
        <v>4075</v>
      </c>
      <c r="U95" s="245">
        <v>3912</v>
      </c>
    </row>
    <row r="96" spans="3:21" ht="15.75">
      <c r="C96" s="244" t="s">
        <v>525</v>
      </c>
      <c r="D96" s="245">
        <v>7944</v>
      </c>
      <c r="E96" s="245">
        <v>3915</v>
      </c>
      <c r="F96" s="245">
        <v>4029</v>
      </c>
      <c r="G96" s="231"/>
      <c r="H96" s="244" t="s">
        <v>525</v>
      </c>
      <c r="I96" s="245">
        <v>2206</v>
      </c>
      <c r="J96" s="245">
        <v>1096</v>
      </c>
      <c r="K96" s="245">
        <v>1110</v>
      </c>
      <c r="L96" s="231"/>
      <c r="M96" s="244" t="s">
        <v>525</v>
      </c>
      <c r="N96" s="245">
        <v>1999</v>
      </c>
      <c r="O96" s="245">
        <v>1053</v>
      </c>
      <c r="P96" s="245">
        <v>946</v>
      </c>
      <c r="Q96" s="231"/>
      <c r="R96" s="244" t="s">
        <v>525</v>
      </c>
      <c r="S96" s="245">
        <v>7887</v>
      </c>
      <c r="T96" s="245">
        <v>4023</v>
      </c>
      <c r="U96" s="245">
        <v>3864</v>
      </c>
    </row>
    <row r="97" spans="3:21" ht="15">
      <c r="C97" s="247"/>
      <c r="D97" s="248"/>
      <c r="E97" s="248"/>
      <c r="F97" s="248"/>
      <c r="G97" s="247"/>
      <c r="H97" s="247"/>
      <c r="I97" s="231"/>
      <c r="J97" s="231"/>
      <c r="K97" s="231"/>
      <c r="L97" s="231"/>
      <c r="M97" s="231"/>
      <c r="N97" s="231"/>
      <c r="O97" s="231"/>
      <c r="P97" s="231"/>
      <c r="Q97" s="231"/>
      <c r="R97" s="231"/>
      <c r="S97" s="231"/>
      <c r="T97" s="231"/>
      <c r="U97" s="231"/>
    </row>
    <row r="98" spans="3:21" ht="15">
      <c r="C98" s="231"/>
      <c r="D98" s="231"/>
      <c r="E98" s="231"/>
      <c r="F98" s="231"/>
      <c r="G98" s="231"/>
      <c r="H98" s="231"/>
      <c r="I98" s="231"/>
      <c r="J98" s="231"/>
      <c r="K98" s="231"/>
      <c r="L98" s="231"/>
      <c r="M98" s="231"/>
      <c r="N98" s="231"/>
      <c r="O98" s="231"/>
      <c r="P98" s="231"/>
      <c r="Q98" s="231"/>
      <c r="R98" s="231"/>
      <c r="S98" s="231"/>
      <c r="T98" s="231"/>
      <c r="U98" s="231"/>
    </row>
    <row r="99" spans="3:21" ht="17.25">
      <c r="C99" s="230" t="s">
        <v>545</v>
      </c>
      <c r="D99" s="231"/>
      <c r="E99" s="231"/>
      <c r="F99" s="231"/>
      <c r="G99" s="231"/>
      <c r="H99" s="230" t="s">
        <v>546</v>
      </c>
      <c r="I99" s="231"/>
      <c r="J99" s="231"/>
      <c r="K99" s="231"/>
      <c r="L99" s="231"/>
      <c r="M99" s="230" t="s">
        <v>547</v>
      </c>
      <c r="N99" s="231"/>
      <c r="O99" s="231"/>
      <c r="P99" s="231"/>
      <c r="Q99" s="231"/>
      <c r="R99" s="230" t="s">
        <v>548</v>
      </c>
      <c r="S99" s="231"/>
      <c r="T99" s="231"/>
      <c r="U99" s="231"/>
    </row>
    <row r="100" spans="3:21" ht="47.25">
      <c r="C100" s="225" t="s">
        <v>506</v>
      </c>
      <c r="D100" s="232" t="s">
        <v>564</v>
      </c>
      <c r="E100" s="232" t="s">
        <v>565</v>
      </c>
      <c r="F100" s="232" t="s">
        <v>566</v>
      </c>
      <c r="G100" s="227"/>
      <c r="H100" s="225" t="s">
        <v>506</v>
      </c>
      <c r="I100" s="232" t="s">
        <v>564</v>
      </c>
      <c r="J100" s="232" t="s">
        <v>565</v>
      </c>
      <c r="K100" s="232" t="s">
        <v>566</v>
      </c>
      <c r="L100" s="227"/>
      <c r="M100" s="225" t="s">
        <v>506</v>
      </c>
      <c r="N100" s="232" t="s">
        <v>564</v>
      </c>
      <c r="O100" s="232" t="s">
        <v>565</v>
      </c>
      <c r="P100" s="232" t="s">
        <v>566</v>
      </c>
      <c r="Q100" s="227"/>
      <c r="R100" s="225" t="s">
        <v>506</v>
      </c>
      <c r="S100" s="232" t="s">
        <v>564</v>
      </c>
      <c r="T100" s="232" t="s">
        <v>565</v>
      </c>
      <c r="U100" s="232" t="s">
        <v>566</v>
      </c>
    </row>
    <row r="101" spans="3:21" ht="15.75">
      <c r="C101" s="225" t="s">
        <v>535</v>
      </c>
      <c r="D101" s="226">
        <v>149360</v>
      </c>
      <c r="E101" s="226">
        <v>77029</v>
      </c>
      <c r="F101" s="226">
        <v>72331</v>
      </c>
      <c r="G101" s="227"/>
      <c r="H101" s="225" t="s">
        <v>535</v>
      </c>
      <c r="I101" s="226">
        <v>64963</v>
      </c>
      <c r="J101" s="226">
        <v>33799</v>
      </c>
      <c r="K101" s="226">
        <v>31164</v>
      </c>
      <c r="L101" s="227"/>
      <c r="M101" s="225" t="s">
        <v>535</v>
      </c>
      <c r="N101" s="226">
        <v>213365</v>
      </c>
      <c r="O101" s="226">
        <v>109396</v>
      </c>
      <c r="P101" s="226">
        <v>103969</v>
      </c>
      <c r="Q101" s="227"/>
      <c r="R101" s="225" t="s">
        <v>535</v>
      </c>
      <c r="S101" s="226">
        <v>327577</v>
      </c>
      <c r="T101" s="226">
        <v>168143</v>
      </c>
      <c r="U101" s="226">
        <v>159434</v>
      </c>
    </row>
    <row r="102" spans="3:21" ht="15.75">
      <c r="C102" s="244" t="s">
        <v>507</v>
      </c>
      <c r="D102" s="245">
        <v>7702</v>
      </c>
      <c r="E102" s="245">
        <v>3979</v>
      </c>
      <c r="F102" s="245">
        <v>3723</v>
      </c>
      <c r="G102" s="246"/>
      <c r="H102" s="244" t="s">
        <v>507</v>
      </c>
      <c r="I102" s="245">
        <v>3227</v>
      </c>
      <c r="J102" s="245">
        <v>1688</v>
      </c>
      <c r="K102" s="245">
        <v>1539</v>
      </c>
      <c r="L102" s="246"/>
      <c r="M102" s="244" t="s">
        <v>507</v>
      </c>
      <c r="N102" s="245">
        <v>11059</v>
      </c>
      <c r="O102" s="245">
        <v>5680</v>
      </c>
      <c r="P102" s="245">
        <v>5379</v>
      </c>
      <c r="Q102" s="246"/>
      <c r="R102" s="244" t="s">
        <v>507</v>
      </c>
      <c r="S102" s="245">
        <v>17739</v>
      </c>
      <c r="T102" s="245">
        <v>9119</v>
      </c>
      <c r="U102" s="245">
        <v>8620</v>
      </c>
    </row>
    <row r="103" spans="3:21" ht="15.75">
      <c r="C103" s="244" t="s">
        <v>508</v>
      </c>
      <c r="D103" s="245">
        <v>7636</v>
      </c>
      <c r="E103" s="245">
        <v>3944</v>
      </c>
      <c r="F103" s="245">
        <v>3692</v>
      </c>
      <c r="G103" s="246"/>
      <c r="H103" s="244" t="s">
        <v>508</v>
      </c>
      <c r="I103" s="245">
        <v>3220</v>
      </c>
      <c r="J103" s="245">
        <v>1676</v>
      </c>
      <c r="K103" s="245">
        <v>1544</v>
      </c>
      <c r="L103" s="246"/>
      <c r="M103" s="244" t="s">
        <v>508</v>
      </c>
      <c r="N103" s="245">
        <v>11093</v>
      </c>
      <c r="O103" s="245">
        <v>5694</v>
      </c>
      <c r="P103" s="245">
        <v>5399</v>
      </c>
      <c r="Q103" s="246"/>
      <c r="R103" s="244" t="s">
        <v>508</v>
      </c>
      <c r="S103" s="245">
        <v>17657</v>
      </c>
      <c r="T103" s="245">
        <v>9079</v>
      </c>
      <c r="U103" s="245">
        <v>8578</v>
      </c>
    </row>
    <row r="104" spans="3:21" ht="15.75">
      <c r="C104" s="244" t="s">
        <v>509</v>
      </c>
      <c r="D104" s="245">
        <v>7620</v>
      </c>
      <c r="E104" s="245">
        <v>3940</v>
      </c>
      <c r="F104" s="245">
        <v>3680</v>
      </c>
      <c r="G104" s="246"/>
      <c r="H104" s="244" t="s">
        <v>509</v>
      </c>
      <c r="I104" s="245">
        <v>3216</v>
      </c>
      <c r="J104" s="245">
        <v>1678</v>
      </c>
      <c r="K104" s="245">
        <v>1538</v>
      </c>
      <c r="L104" s="246"/>
      <c r="M104" s="244" t="s">
        <v>509</v>
      </c>
      <c r="N104" s="245">
        <v>11157</v>
      </c>
      <c r="O104" s="245">
        <v>5736</v>
      </c>
      <c r="P104" s="245">
        <v>5421</v>
      </c>
      <c r="Q104" s="246"/>
      <c r="R104" s="244" t="s">
        <v>509</v>
      </c>
      <c r="S104" s="245">
        <v>17399</v>
      </c>
      <c r="T104" s="245">
        <v>8952</v>
      </c>
      <c r="U104" s="245">
        <v>8447</v>
      </c>
    </row>
    <row r="105" spans="3:21" ht="15.75">
      <c r="C105" s="244" t="s">
        <v>510</v>
      </c>
      <c r="D105" s="245">
        <v>7617</v>
      </c>
      <c r="E105" s="245">
        <v>3942</v>
      </c>
      <c r="F105" s="245">
        <v>3675</v>
      </c>
      <c r="G105" s="231"/>
      <c r="H105" s="244" t="s">
        <v>510</v>
      </c>
      <c r="I105" s="245">
        <v>3213</v>
      </c>
      <c r="J105" s="245">
        <v>1677</v>
      </c>
      <c r="K105" s="245">
        <v>1536</v>
      </c>
      <c r="L105" s="231"/>
      <c r="M105" s="244" t="s">
        <v>510</v>
      </c>
      <c r="N105" s="245">
        <v>11211</v>
      </c>
      <c r="O105" s="245">
        <v>5768</v>
      </c>
      <c r="P105" s="245">
        <v>5443</v>
      </c>
      <c r="Q105" s="231"/>
      <c r="R105" s="244" t="s">
        <v>510</v>
      </c>
      <c r="S105" s="245">
        <v>17201</v>
      </c>
      <c r="T105" s="245">
        <v>8858</v>
      </c>
      <c r="U105" s="245">
        <v>8343</v>
      </c>
    </row>
    <row r="106" spans="3:21" ht="15.75">
      <c r="C106" s="244" t="s">
        <v>511</v>
      </c>
      <c r="D106" s="245">
        <v>7629</v>
      </c>
      <c r="E106" s="245">
        <v>3950</v>
      </c>
      <c r="F106" s="245">
        <v>3679</v>
      </c>
      <c r="G106" s="231"/>
      <c r="H106" s="244" t="s">
        <v>511</v>
      </c>
      <c r="I106" s="245">
        <v>3215</v>
      </c>
      <c r="J106" s="245">
        <v>1679</v>
      </c>
      <c r="K106" s="245">
        <v>1536</v>
      </c>
      <c r="L106" s="231"/>
      <c r="M106" s="244" t="s">
        <v>511</v>
      </c>
      <c r="N106" s="245">
        <v>11257</v>
      </c>
      <c r="O106" s="245">
        <v>5794</v>
      </c>
      <c r="P106" s="245">
        <v>5463</v>
      </c>
      <c r="Q106" s="231"/>
      <c r="R106" s="244" t="s">
        <v>511</v>
      </c>
      <c r="S106" s="245">
        <v>17043</v>
      </c>
      <c r="T106" s="245">
        <v>8780</v>
      </c>
      <c r="U106" s="245">
        <v>8263</v>
      </c>
    </row>
    <row r="107" spans="3:21" ht="15.75">
      <c r="C107" s="244" t="s">
        <v>512</v>
      </c>
      <c r="D107" s="245">
        <v>7634</v>
      </c>
      <c r="E107" s="245">
        <v>3954</v>
      </c>
      <c r="F107" s="245">
        <v>3680</v>
      </c>
      <c r="G107" s="231"/>
      <c r="H107" s="244" t="s">
        <v>512</v>
      </c>
      <c r="I107" s="245">
        <v>3221</v>
      </c>
      <c r="J107" s="245">
        <v>1683</v>
      </c>
      <c r="K107" s="245">
        <v>1538</v>
      </c>
      <c r="L107" s="231"/>
      <c r="M107" s="244" t="s">
        <v>512</v>
      </c>
      <c r="N107" s="245">
        <v>11279</v>
      </c>
      <c r="O107" s="245">
        <v>5808</v>
      </c>
      <c r="P107" s="245">
        <v>5471</v>
      </c>
      <c r="Q107" s="231"/>
      <c r="R107" s="244" t="s">
        <v>512</v>
      </c>
      <c r="S107" s="245">
        <v>16911</v>
      </c>
      <c r="T107" s="245">
        <v>8716</v>
      </c>
      <c r="U107" s="245">
        <v>8195</v>
      </c>
    </row>
    <row r="108" spans="3:21" ht="15.75">
      <c r="C108" s="244" t="s">
        <v>513</v>
      </c>
      <c r="D108" s="245">
        <v>7637</v>
      </c>
      <c r="E108" s="245">
        <v>3957</v>
      </c>
      <c r="F108" s="245">
        <v>3680</v>
      </c>
      <c r="G108" s="231"/>
      <c r="H108" s="244" t="s">
        <v>513</v>
      </c>
      <c r="I108" s="245">
        <v>3225</v>
      </c>
      <c r="J108" s="245">
        <v>1686</v>
      </c>
      <c r="K108" s="245">
        <v>1539</v>
      </c>
      <c r="L108" s="231"/>
      <c r="M108" s="244" t="s">
        <v>513</v>
      </c>
      <c r="N108" s="245">
        <v>11300</v>
      </c>
      <c r="O108" s="245">
        <v>5821</v>
      </c>
      <c r="P108" s="245">
        <v>5479</v>
      </c>
      <c r="Q108" s="231"/>
      <c r="R108" s="244" t="s">
        <v>513</v>
      </c>
      <c r="S108" s="245">
        <v>16786</v>
      </c>
      <c r="T108" s="245">
        <v>8656</v>
      </c>
      <c r="U108" s="245">
        <v>8130</v>
      </c>
    </row>
    <row r="109" spans="3:21" ht="15.75">
      <c r="C109" s="244" t="s">
        <v>514</v>
      </c>
      <c r="D109" s="245">
        <v>7706</v>
      </c>
      <c r="E109" s="245">
        <v>3991</v>
      </c>
      <c r="F109" s="245">
        <v>3715</v>
      </c>
      <c r="G109" s="231"/>
      <c r="H109" s="244" t="s">
        <v>514</v>
      </c>
      <c r="I109" s="245">
        <v>3240</v>
      </c>
      <c r="J109" s="245">
        <v>1693</v>
      </c>
      <c r="K109" s="245">
        <v>1547</v>
      </c>
      <c r="L109" s="231"/>
      <c r="M109" s="244" t="s">
        <v>514</v>
      </c>
      <c r="N109" s="245">
        <v>11328</v>
      </c>
      <c r="O109" s="245">
        <v>5833</v>
      </c>
      <c r="P109" s="245">
        <v>5495</v>
      </c>
      <c r="Q109" s="231"/>
      <c r="R109" s="244" t="s">
        <v>514</v>
      </c>
      <c r="S109" s="245">
        <v>16767</v>
      </c>
      <c r="T109" s="245">
        <v>8643</v>
      </c>
      <c r="U109" s="245">
        <v>8124</v>
      </c>
    </row>
    <row r="110" spans="3:21" ht="15.75">
      <c r="C110" s="244" t="s">
        <v>515</v>
      </c>
      <c r="D110" s="245">
        <v>7786</v>
      </c>
      <c r="E110" s="245">
        <v>4029</v>
      </c>
      <c r="F110" s="245">
        <v>3757</v>
      </c>
      <c r="G110" s="231"/>
      <c r="H110" s="244" t="s">
        <v>515</v>
      </c>
      <c r="I110" s="245">
        <v>3268</v>
      </c>
      <c r="J110" s="245">
        <v>1706</v>
      </c>
      <c r="K110" s="245">
        <v>1562</v>
      </c>
      <c r="L110" s="231"/>
      <c r="M110" s="244" t="s">
        <v>515</v>
      </c>
      <c r="N110" s="245">
        <v>11355</v>
      </c>
      <c r="O110" s="245">
        <v>5842</v>
      </c>
      <c r="P110" s="245">
        <v>5513</v>
      </c>
      <c r="Q110" s="231"/>
      <c r="R110" s="244" t="s">
        <v>515</v>
      </c>
      <c r="S110" s="245">
        <v>16795</v>
      </c>
      <c r="T110" s="245">
        <v>8650</v>
      </c>
      <c r="U110" s="245">
        <v>8145</v>
      </c>
    </row>
    <row r="111" spans="3:21" ht="15.75">
      <c r="C111" s="244" t="s">
        <v>516</v>
      </c>
      <c r="D111" s="245">
        <v>7873</v>
      </c>
      <c r="E111" s="245">
        <v>4069</v>
      </c>
      <c r="F111" s="245">
        <v>3804</v>
      </c>
      <c r="G111" s="231"/>
      <c r="H111" s="244" t="s">
        <v>516</v>
      </c>
      <c r="I111" s="245">
        <v>3311</v>
      </c>
      <c r="J111" s="245">
        <v>1726</v>
      </c>
      <c r="K111" s="245">
        <v>1585</v>
      </c>
      <c r="L111" s="231"/>
      <c r="M111" s="244" t="s">
        <v>516</v>
      </c>
      <c r="N111" s="245">
        <v>11379</v>
      </c>
      <c r="O111" s="245">
        <v>5847</v>
      </c>
      <c r="P111" s="245">
        <v>5532</v>
      </c>
      <c r="Q111" s="231"/>
      <c r="R111" s="244" t="s">
        <v>516</v>
      </c>
      <c r="S111" s="245">
        <v>16863</v>
      </c>
      <c r="T111" s="245">
        <v>8674</v>
      </c>
      <c r="U111" s="245">
        <v>8189</v>
      </c>
    </row>
    <row r="112" spans="3:21" ht="15.75">
      <c r="C112" s="244" t="s">
        <v>517</v>
      </c>
      <c r="D112" s="245">
        <v>7955</v>
      </c>
      <c r="E112" s="245">
        <v>4105</v>
      </c>
      <c r="F112" s="245">
        <v>3850</v>
      </c>
      <c r="G112" s="231"/>
      <c r="H112" s="244" t="s">
        <v>517</v>
      </c>
      <c r="I112" s="245">
        <v>3363</v>
      </c>
      <c r="J112" s="245">
        <v>1751</v>
      </c>
      <c r="K112" s="245">
        <v>1612</v>
      </c>
      <c r="L112" s="231"/>
      <c r="M112" s="244" t="s">
        <v>517</v>
      </c>
      <c r="N112" s="245">
        <v>11396</v>
      </c>
      <c r="O112" s="245">
        <v>5847</v>
      </c>
      <c r="P112" s="245">
        <v>5549</v>
      </c>
      <c r="Q112" s="231"/>
      <c r="R112" s="244" t="s">
        <v>517</v>
      </c>
      <c r="S112" s="245">
        <v>16907</v>
      </c>
      <c r="T112" s="245">
        <v>8692</v>
      </c>
      <c r="U112" s="245">
        <v>8215</v>
      </c>
    </row>
    <row r="113" spans="3:21" ht="15.75">
      <c r="C113" s="244" t="s">
        <v>518</v>
      </c>
      <c r="D113" s="245">
        <v>8040</v>
      </c>
      <c r="E113" s="245">
        <v>4142</v>
      </c>
      <c r="F113" s="245">
        <v>3898</v>
      </c>
      <c r="G113" s="231"/>
      <c r="H113" s="244" t="s">
        <v>518</v>
      </c>
      <c r="I113" s="245">
        <v>3416</v>
      </c>
      <c r="J113" s="245">
        <v>1775</v>
      </c>
      <c r="K113" s="245">
        <v>1641</v>
      </c>
      <c r="L113" s="231"/>
      <c r="M113" s="244" t="s">
        <v>518</v>
      </c>
      <c r="N113" s="245">
        <v>11401</v>
      </c>
      <c r="O113" s="245">
        <v>5839</v>
      </c>
      <c r="P113" s="245">
        <v>5562</v>
      </c>
      <c r="Q113" s="231"/>
      <c r="R113" s="244" t="s">
        <v>518</v>
      </c>
      <c r="S113" s="245">
        <v>17034</v>
      </c>
      <c r="T113" s="245">
        <v>8741</v>
      </c>
      <c r="U113" s="245">
        <v>8293</v>
      </c>
    </row>
    <row r="114" spans="3:21" ht="15.75">
      <c r="C114" s="244" t="s">
        <v>519</v>
      </c>
      <c r="D114" s="245">
        <v>8122</v>
      </c>
      <c r="E114" s="245">
        <v>4176</v>
      </c>
      <c r="F114" s="245">
        <v>3946</v>
      </c>
      <c r="G114" s="231"/>
      <c r="H114" s="244" t="s">
        <v>519</v>
      </c>
      <c r="I114" s="245">
        <v>3460</v>
      </c>
      <c r="J114" s="245">
        <v>1795</v>
      </c>
      <c r="K114" s="245">
        <v>1665</v>
      </c>
      <c r="L114" s="231"/>
      <c r="M114" s="244" t="s">
        <v>519</v>
      </c>
      <c r="N114" s="245">
        <v>11396</v>
      </c>
      <c r="O114" s="245">
        <v>5825</v>
      </c>
      <c r="P114" s="245">
        <v>5571</v>
      </c>
      <c r="Q114" s="231"/>
      <c r="R114" s="244" t="s">
        <v>519</v>
      </c>
      <c r="S114" s="245">
        <v>17180</v>
      </c>
      <c r="T114" s="245">
        <v>8793</v>
      </c>
      <c r="U114" s="245">
        <v>8387</v>
      </c>
    </row>
    <row r="115" spans="3:21" ht="15.75">
      <c r="C115" s="244" t="s">
        <v>520</v>
      </c>
      <c r="D115" s="245">
        <v>8161</v>
      </c>
      <c r="E115" s="245">
        <v>4190</v>
      </c>
      <c r="F115" s="245">
        <v>3971</v>
      </c>
      <c r="G115" s="231"/>
      <c r="H115" s="244" t="s">
        <v>520</v>
      </c>
      <c r="I115" s="245">
        <v>3517</v>
      </c>
      <c r="J115" s="245">
        <v>1822</v>
      </c>
      <c r="K115" s="245">
        <v>1695</v>
      </c>
      <c r="L115" s="231"/>
      <c r="M115" s="244" t="s">
        <v>520</v>
      </c>
      <c r="N115" s="245">
        <v>11365</v>
      </c>
      <c r="O115" s="245">
        <v>5801</v>
      </c>
      <c r="P115" s="245">
        <v>5564</v>
      </c>
      <c r="Q115" s="231"/>
      <c r="R115" s="244" t="s">
        <v>520</v>
      </c>
      <c r="S115" s="245">
        <v>17321</v>
      </c>
      <c r="T115" s="245">
        <v>8852</v>
      </c>
      <c r="U115" s="245">
        <v>8469</v>
      </c>
    </row>
    <row r="116" spans="3:21" ht="15.75">
      <c r="C116" s="244" t="s">
        <v>521</v>
      </c>
      <c r="D116" s="245">
        <v>8141</v>
      </c>
      <c r="E116" s="245">
        <v>4179</v>
      </c>
      <c r="F116" s="245">
        <v>3962</v>
      </c>
      <c r="G116" s="231"/>
      <c r="H116" s="244" t="s">
        <v>521</v>
      </c>
      <c r="I116" s="245">
        <v>3592</v>
      </c>
      <c r="J116" s="245">
        <v>1861</v>
      </c>
      <c r="K116" s="245">
        <v>1731</v>
      </c>
      <c r="L116" s="231"/>
      <c r="M116" s="244" t="s">
        <v>521</v>
      </c>
      <c r="N116" s="245">
        <v>11298</v>
      </c>
      <c r="O116" s="245">
        <v>5765</v>
      </c>
      <c r="P116" s="245">
        <v>5533</v>
      </c>
      <c r="Q116" s="231"/>
      <c r="R116" s="244" t="s">
        <v>521</v>
      </c>
      <c r="S116" s="245">
        <v>17442</v>
      </c>
      <c r="T116" s="245">
        <v>8912</v>
      </c>
      <c r="U116" s="245">
        <v>8530</v>
      </c>
    </row>
    <row r="117" spans="3:21" ht="15.75">
      <c r="C117" s="244" t="s">
        <v>522</v>
      </c>
      <c r="D117" s="245">
        <v>8166</v>
      </c>
      <c r="E117" s="245">
        <v>4195</v>
      </c>
      <c r="F117" s="245">
        <v>3971</v>
      </c>
      <c r="G117" s="231"/>
      <c r="H117" s="244" t="s">
        <v>522</v>
      </c>
      <c r="I117" s="245">
        <v>3682</v>
      </c>
      <c r="J117" s="245">
        <v>1908</v>
      </c>
      <c r="K117" s="245">
        <v>1774</v>
      </c>
      <c r="L117" s="231"/>
      <c r="M117" s="244" t="s">
        <v>522</v>
      </c>
      <c r="N117" s="245">
        <v>11195</v>
      </c>
      <c r="O117" s="245">
        <v>5715</v>
      </c>
      <c r="P117" s="245">
        <v>5480</v>
      </c>
      <c r="Q117" s="231"/>
      <c r="R117" s="244" t="s">
        <v>522</v>
      </c>
      <c r="S117" s="245">
        <v>17504</v>
      </c>
      <c r="T117" s="245">
        <v>8945</v>
      </c>
      <c r="U117" s="245">
        <v>8559</v>
      </c>
    </row>
    <row r="118" spans="3:21" ht="15.75">
      <c r="C118" s="244" t="s">
        <v>523</v>
      </c>
      <c r="D118" s="245">
        <v>8084</v>
      </c>
      <c r="E118" s="245">
        <v>4152</v>
      </c>
      <c r="F118" s="245">
        <v>3932</v>
      </c>
      <c r="G118" s="231"/>
      <c r="H118" s="244" t="s">
        <v>523</v>
      </c>
      <c r="I118" s="245">
        <v>3779</v>
      </c>
      <c r="J118" s="245">
        <v>1958</v>
      </c>
      <c r="K118" s="245">
        <v>1821</v>
      </c>
      <c r="L118" s="231"/>
      <c r="M118" s="244" t="s">
        <v>523</v>
      </c>
      <c r="N118" s="245">
        <v>11088</v>
      </c>
      <c r="O118" s="245">
        <v>5659</v>
      </c>
      <c r="P118" s="245">
        <v>5429</v>
      </c>
      <c r="Q118" s="231"/>
      <c r="R118" s="244" t="s">
        <v>523</v>
      </c>
      <c r="S118" s="245">
        <v>17573</v>
      </c>
      <c r="T118" s="245">
        <v>8982</v>
      </c>
      <c r="U118" s="245">
        <v>8591</v>
      </c>
    </row>
    <row r="119" spans="3:21" ht="15.75">
      <c r="C119" s="244" t="s">
        <v>524</v>
      </c>
      <c r="D119" s="245">
        <v>8002</v>
      </c>
      <c r="E119" s="245">
        <v>4107</v>
      </c>
      <c r="F119" s="245">
        <v>3895</v>
      </c>
      <c r="G119" s="231"/>
      <c r="H119" s="244" t="s">
        <v>524</v>
      </c>
      <c r="I119" s="245">
        <v>3882</v>
      </c>
      <c r="J119" s="245">
        <v>2010</v>
      </c>
      <c r="K119" s="245">
        <v>1872</v>
      </c>
      <c r="L119" s="231"/>
      <c r="M119" s="244" t="s">
        <v>524</v>
      </c>
      <c r="N119" s="245">
        <v>10989</v>
      </c>
      <c r="O119" s="245">
        <v>5605</v>
      </c>
      <c r="P119" s="245">
        <v>5384</v>
      </c>
      <c r="Q119" s="231"/>
      <c r="R119" s="244" t="s">
        <v>524</v>
      </c>
      <c r="S119" s="245">
        <v>17708</v>
      </c>
      <c r="T119" s="245">
        <v>9042</v>
      </c>
      <c r="U119" s="245">
        <v>8666</v>
      </c>
    </row>
    <row r="120" spans="3:21" ht="15.75">
      <c r="C120" s="244" t="s">
        <v>525</v>
      </c>
      <c r="D120" s="245">
        <v>7849</v>
      </c>
      <c r="E120" s="245">
        <v>4028</v>
      </c>
      <c r="F120" s="245">
        <v>3821</v>
      </c>
      <c r="G120" s="231"/>
      <c r="H120" s="244" t="s">
        <v>525</v>
      </c>
      <c r="I120" s="245">
        <v>3916</v>
      </c>
      <c r="J120" s="245">
        <v>2027</v>
      </c>
      <c r="K120" s="245">
        <v>1889</v>
      </c>
      <c r="L120" s="231"/>
      <c r="M120" s="244" t="s">
        <v>525</v>
      </c>
      <c r="N120" s="245">
        <v>10819</v>
      </c>
      <c r="O120" s="245">
        <v>5517</v>
      </c>
      <c r="P120" s="245">
        <v>5302</v>
      </c>
      <c r="Q120" s="231"/>
      <c r="R120" s="244" t="s">
        <v>525</v>
      </c>
      <c r="S120" s="245">
        <v>17747</v>
      </c>
      <c r="T120" s="245">
        <v>9057</v>
      </c>
      <c r="U120" s="245">
        <v>8690</v>
      </c>
    </row>
    <row r="121" spans="3:21" ht="15">
      <c r="C121" s="247"/>
      <c r="D121" s="248"/>
      <c r="E121" s="248"/>
      <c r="F121" s="248"/>
      <c r="G121" s="247"/>
      <c r="H121" s="247"/>
      <c r="I121" s="248"/>
      <c r="J121" s="248"/>
      <c r="K121" s="248"/>
      <c r="L121" s="247"/>
      <c r="M121" s="247"/>
      <c r="N121" s="248"/>
      <c r="O121" s="248"/>
      <c r="P121" s="248"/>
      <c r="Q121" s="247"/>
      <c r="R121" s="247"/>
      <c r="S121" s="248"/>
      <c r="T121" s="248"/>
      <c r="U121" s="248"/>
    </row>
    <row r="122" spans="3:21" ht="15">
      <c r="C122" s="231"/>
      <c r="D122" s="231"/>
      <c r="E122" s="231"/>
      <c r="F122" s="231"/>
      <c r="G122" s="231"/>
      <c r="H122" s="231"/>
      <c r="I122" s="231"/>
      <c r="J122" s="231"/>
      <c r="K122" s="231"/>
      <c r="L122" s="231"/>
      <c r="M122" s="231"/>
      <c r="N122" s="231"/>
      <c r="O122" s="231"/>
      <c r="P122" s="231"/>
      <c r="Q122" s="231"/>
      <c r="R122" s="231"/>
      <c r="S122" s="231"/>
      <c r="T122" s="231"/>
      <c r="U122" s="231"/>
    </row>
    <row r="123" spans="3:21" ht="17.25">
      <c r="C123" s="230" t="s">
        <v>549</v>
      </c>
      <c r="D123" s="231"/>
      <c r="E123" s="231"/>
      <c r="F123" s="231"/>
      <c r="G123" s="231"/>
      <c r="H123" s="230" t="s">
        <v>550</v>
      </c>
      <c r="I123" s="231"/>
      <c r="J123" s="231"/>
      <c r="K123" s="231"/>
      <c r="L123" s="231"/>
      <c r="M123" s="230" t="s">
        <v>551</v>
      </c>
      <c r="N123" s="231"/>
      <c r="O123" s="231"/>
      <c r="P123" s="231"/>
      <c r="Q123" s="231"/>
      <c r="R123" s="230" t="s">
        <v>552</v>
      </c>
      <c r="S123" s="231"/>
      <c r="T123" s="231"/>
      <c r="U123" s="231"/>
    </row>
    <row r="124" spans="3:21" ht="47.25">
      <c r="C124" s="225" t="s">
        <v>506</v>
      </c>
      <c r="D124" s="232" t="s">
        <v>564</v>
      </c>
      <c r="E124" s="232" t="s">
        <v>565</v>
      </c>
      <c r="F124" s="232" t="s">
        <v>566</v>
      </c>
      <c r="G124" s="227"/>
      <c r="H124" s="225" t="s">
        <v>506</v>
      </c>
      <c r="I124" s="232" t="s">
        <v>564</v>
      </c>
      <c r="J124" s="232" t="s">
        <v>565</v>
      </c>
      <c r="K124" s="232" t="s">
        <v>566</v>
      </c>
      <c r="L124" s="227"/>
      <c r="M124" s="225" t="s">
        <v>506</v>
      </c>
      <c r="N124" s="232" t="s">
        <v>564</v>
      </c>
      <c r="O124" s="232" t="s">
        <v>565</v>
      </c>
      <c r="P124" s="232" t="s">
        <v>566</v>
      </c>
      <c r="Q124" s="227"/>
      <c r="R124" s="225" t="s">
        <v>506</v>
      </c>
      <c r="S124" s="232" t="s">
        <v>564</v>
      </c>
      <c r="T124" s="232" t="s">
        <v>565</v>
      </c>
      <c r="U124" s="232" t="s">
        <v>566</v>
      </c>
    </row>
    <row r="125" spans="3:21" ht="15.75">
      <c r="C125" s="225" t="s">
        <v>535</v>
      </c>
      <c r="D125" s="226">
        <v>101438</v>
      </c>
      <c r="E125" s="226">
        <v>50938</v>
      </c>
      <c r="F125" s="226">
        <v>50500</v>
      </c>
      <c r="G125" s="227"/>
      <c r="H125" s="225" t="s">
        <v>535</v>
      </c>
      <c r="I125" s="226">
        <v>238730</v>
      </c>
      <c r="J125" s="226">
        <v>121017</v>
      </c>
      <c r="K125" s="226">
        <v>117713</v>
      </c>
      <c r="L125" s="227"/>
      <c r="M125" s="225" t="s">
        <v>535</v>
      </c>
      <c r="N125" s="226">
        <v>325176</v>
      </c>
      <c r="O125" s="226">
        <v>163246</v>
      </c>
      <c r="P125" s="226">
        <v>161930</v>
      </c>
      <c r="Q125" s="227"/>
      <c r="R125" s="225" t="s">
        <v>535</v>
      </c>
      <c r="S125" s="226">
        <v>55065</v>
      </c>
      <c r="T125" s="226">
        <v>28321</v>
      </c>
      <c r="U125" s="226">
        <v>26744</v>
      </c>
    </row>
    <row r="126" spans="3:21" ht="15.75">
      <c r="C126" s="244" t="s">
        <v>507</v>
      </c>
      <c r="D126" s="245">
        <v>5177</v>
      </c>
      <c r="E126" s="245">
        <v>2599</v>
      </c>
      <c r="F126" s="245">
        <v>2578</v>
      </c>
      <c r="G126" s="246"/>
      <c r="H126" s="244" t="s">
        <v>507</v>
      </c>
      <c r="I126" s="245">
        <v>11960</v>
      </c>
      <c r="J126" s="245">
        <v>6074</v>
      </c>
      <c r="K126" s="245">
        <v>5886</v>
      </c>
      <c r="L126" s="246"/>
      <c r="M126" s="244" t="s">
        <v>507</v>
      </c>
      <c r="N126" s="245">
        <v>16491</v>
      </c>
      <c r="O126" s="245">
        <v>8287</v>
      </c>
      <c r="P126" s="245">
        <v>8204</v>
      </c>
      <c r="Q126" s="246"/>
      <c r="R126" s="244" t="s">
        <v>507</v>
      </c>
      <c r="S126" s="245">
        <v>2539</v>
      </c>
      <c r="T126" s="245">
        <v>1306</v>
      </c>
      <c r="U126" s="245">
        <v>1233</v>
      </c>
    </row>
    <row r="127" spans="3:21" ht="15.75">
      <c r="C127" s="244" t="s">
        <v>508</v>
      </c>
      <c r="D127" s="245">
        <v>5144</v>
      </c>
      <c r="E127" s="245">
        <v>2589</v>
      </c>
      <c r="F127" s="245">
        <v>2555</v>
      </c>
      <c r="G127" s="246"/>
      <c r="H127" s="244" t="s">
        <v>508</v>
      </c>
      <c r="I127" s="245">
        <v>11932</v>
      </c>
      <c r="J127" s="245">
        <v>6056</v>
      </c>
      <c r="K127" s="245">
        <v>5876</v>
      </c>
      <c r="L127" s="246"/>
      <c r="M127" s="244" t="s">
        <v>508</v>
      </c>
      <c r="N127" s="245">
        <v>16569</v>
      </c>
      <c r="O127" s="245">
        <v>8333</v>
      </c>
      <c r="P127" s="245">
        <v>8236</v>
      </c>
      <c r="Q127" s="246"/>
      <c r="R127" s="244" t="s">
        <v>508</v>
      </c>
      <c r="S127" s="245">
        <v>2586</v>
      </c>
      <c r="T127" s="245">
        <v>1332</v>
      </c>
      <c r="U127" s="245">
        <v>1254</v>
      </c>
    </row>
    <row r="128" spans="3:21" ht="15.75">
      <c r="C128" s="244" t="s">
        <v>509</v>
      </c>
      <c r="D128" s="245">
        <v>5122</v>
      </c>
      <c r="E128" s="245">
        <v>2579</v>
      </c>
      <c r="F128" s="245">
        <v>2543</v>
      </c>
      <c r="G128" s="246"/>
      <c r="H128" s="244" t="s">
        <v>509</v>
      </c>
      <c r="I128" s="245">
        <v>11913</v>
      </c>
      <c r="J128" s="245">
        <v>6056</v>
      </c>
      <c r="K128" s="245">
        <v>5857</v>
      </c>
      <c r="L128" s="246"/>
      <c r="M128" s="244" t="s">
        <v>509</v>
      </c>
      <c r="N128" s="245">
        <v>16489</v>
      </c>
      <c r="O128" s="245">
        <v>8300</v>
      </c>
      <c r="P128" s="245">
        <v>8189</v>
      </c>
      <c r="Q128" s="246"/>
      <c r="R128" s="244" t="s">
        <v>509</v>
      </c>
      <c r="S128" s="245">
        <v>2637</v>
      </c>
      <c r="T128" s="245">
        <v>1360</v>
      </c>
      <c r="U128" s="245">
        <v>1277</v>
      </c>
    </row>
    <row r="129" spans="3:21" ht="15.75">
      <c r="C129" s="244" t="s">
        <v>510</v>
      </c>
      <c r="D129" s="245">
        <v>5107</v>
      </c>
      <c r="E129" s="245">
        <v>2574</v>
      </c>
      <c r="F129" s="245">
        <v>2533</v>
      </c>
      <c r="G129" s="231"/>
      <c r="H129" s="244" t="s">
        <v>510</v>
      </c>
      <c r="I129" s="245">
        <v>11910</v>
      </c>
      <c r="J129" s="245">
        <v>6060</v>
      </c>
      <c r="K129" s="245">
        <v>5850</v>
      </c>
      <c r="L129" s="231"/>
      <c r="M129" s="244" t="s">
        <v>510</v>
      </c>
      <c r="N129" s="245">
        <v>16458</v>
      </c>
      <c r="O129" s="245">
        <v>8292</v>
      </c>
      <c r="P129" s="245">
        <v>8166</v>
      </c>
      <c r="Q129" s="231"/>
      <c r="R129" s="244" t="s">
        <v>510</v>
      </c>
      <c r="S129" s="245">
        <v>2677</v>
      </c>
      <c r="T129" s="245">
        <v>1382</v>
      </c>
      <c r="U129" s="245">
        <v>1295</v>
      </c>
    </row>
    <row r="130" spans="3:21" ht="15.75">
      <c r="C130" s="244" t="s">
        <v>511</v>
      </c>
      <c r="D130" s="245">
        <v>5104</v>
      </c>
      <c r="E130" s="245">
        <v>2574</v>
      </c>
      <c r="F130" s="245">
        <v>2530</v>
      </c>
      <c r="G130" s="231"/>
      <c r="H130" s="244" t="s">
        <v>511</v>
      </c>
      <c r="I130" s="245">
        <v>11926</v>
      </c>
      <c r="J130" s="245">
        <v>6071</v>
      </c>
      <c r="K130" s="245">
        <v>5855</v>
      </c>
      <c r="L130" s="231"/>
      <c r="M130" s="244" t="s">
        <v>511</v>
      </c>
      <c r="N130" s="245">
        <v>16454</v>
      </c>
      <c r="O130" s="245">
        <v>8295</v>
      </c>
      <c r="P130" s="245">
        <v>8159</v>
      </c>
      <c r="Q130" s="231"/>
      <c r="R130" s="244" t="s">
        <v>511</v>
      </c>
      <c r="S130" s="245">
        <v>2708</v>
      </c>
      <c r="T130" s="245">
        <v>1399</v>
      </c>
      <c r="U130" s="245">
        <v>1309</v>
      </c>
    </row>
    <row r="131" spans="3:21" ht="15.75">
      <c r="C131" s="244" t="s">
        <v>512</v>
      </c>
      <c r="D131" s="245">
        <v>5106</v>
      </c>
      <c r="E131" s="245">
        <v>2576</v>
      </c>
      <c r="F131" s="245">
        <v>2530</v>
      </c>
      <c r="G131" s="231"/>
      <c r="H131" s="244" t="s">
        <v>512</v>
      </c>
      <c r="I131" s="245">
        <v>11959</v>
      </c>
      <c r="J131" s="245">
        <v>6090</v>
      </c>
      <c r="K131" s="245">
        <v>5869</v>
      </c>
      <c r="L131" s="231"/>
      <c r="M131" s="244" t="s">
        <v>512</v>
      </c>
      <c r="N131" s="245">
        <v>16455</v>
      </c>
      <c r="O131" s="245">
        <v>8298</v>
      </c>
      <c r="P131" s="245">
        <v>8157</v>
      </c>
      <c r="Q131" s="231"/>
      <c r="R131" s="244" t="s">
        <v>512</v>
      </c>
      <c r="S131" s="245">
        <v>2744</v>
      </c>
      <c r="T131" s="245">
        <v>1418</v>
      </c>
      <c r="U131" s="245">
        <v>1326</v>
      </c>
    </row>
    <row r="132" spans="3:21" ht="15.75">
      <c r="C132" s="244" t="s">
        <v>513</v>
      </c>
      <c r="D132" s="245">
        <v>5108</v>
      </c>
      <c r="E132" s="245">
        <v>2578</v>
      </c>
      <c r="F132" s="245">
        <v>2530</v>
      </c>
      <c r="G132" s="231"/>
      <c r="H132" s="244" t="s">
        <v>513</v>
      </c>
      <c r="I132" s="245">
        <v>11991</v>
      </c>
      <c r="J132" s="245">
        <v>6109</v>
      </c>
      <c r="K132" s="245">
        <v>5882</v>
      </c>
      <c r="L132" s="231"/>
      <c r="M132" s="244" t="s">
        <v>513</v>
      </c>
      <c r="N132" s="245">
        <v>16468</v>
      </c>
      <c r="O132" s="245">
        <v>8309</v>
      </c>
      <c r="P132" s="245">
        <v>8159</v>
      </c>
      <c r="Q132" s="231"/>
      <c r="R132" s="244" t="s">
        <v>513</v>
      </c>
      <c r="S132" s="245">
        <v>2778</v>
      </c>
      <c r="T132" s="245">
        <v>1436</v>
      </c>
      <c r="U132" s="245">
        <v>1342</v>
      </c>
    </row>
    <row r="133" spans="3:21" ht="15.75">
      <c r="C133" s="244" t="s">
        <v>514</v>
      </c>
      <c r="D133" s="245">
        <v>5146</v>
      </c>
      <c r="E133" s="245">
        <v>2596</v>
      </c>
      <c r="F133" s="245">
        <v>2550</v>
      </c>
      <c r="G133" s="231"/>
      <c r="H133" s="244" t="s">
        <v>514</v>
      </c>
      <c r="I133" s="245">
        <v>12070</v>
      </c>
      <c r="J133" s="245">
        <v>6147</v>
      </c>
      <c r="K133" s="245">
        <v>5923</v>
      </c>
      <c r="L133" s="231"/>
      <c r="M133" s="244" t="s">
        <v>514</v>
      </c>
      <c r="N133" s="245">
        <v>16558</v>
      </c>
      <c r="O133" s="245">
        <v>8351</v>
      </c>
      <c r="P133" s="245">
        <v>8207</v>
      </c>
      <c r="Q133" s="231"/>
      <c r="R133" s="244" t="s">
        <v>514</v>
      </c>
      <c r="S133" s="245">
        <v>2782</v>
      </c>
      <c r="T133" s="245">
        <v>1438</v>
      </c>
      <c r="U133" s="245">
        <v>1344</v>
      </c>
    </row>
    <row r="134" spans="3:21" ht="15.75">
      <c r="C134" s="244" t="s">
        <v>515</v>
      </c>
      <c r="D134" s="245">
        <v>5198</v>
      </c>
      <c r="E134" s="245">
        <v>2620</v>
      </c>
      <c r="F134" s="245">
        <v>2578</v>
      </c>
      <c r="G134" s="231"/>
      <c r="H134" s="244" t="s">
        <v>515</v>
      </c>
      <c r="I134" s="245">
        <v>12176</v>
      </c>
      <c r="J134" s="245">
        <v>6196</v>
      </c>
      <c r="K134" s="245">
        <v>5980</v>
      </c>
      <c r="L134" s="231"/>
      <c r="M134" s="244" t="s">
        <v>515</v>
      </c>
      <c r="N134" s="245">
        <v>16685</v>
      </c>
      <c r="O134" s="245">
        <v>8408</v>
      </c>
      <c r="P134" s="245">
        <v>8277</v>
      </c>
      <c r="Q134" s="231"/>
      <c r="R134" s="244" t="s">
        <v>515</v>
      </c>
      <c r="S134" s="245">
        <v>2789</v>
      </c>
      <c r="T134" s="245">
        <v>1440</v>
      </c>
      <c r="U134" s="245">
        <v>1349</v>
      </c>
    </row>
    <row r="135" spans="3:21" ht="15.75">
      <c r="C135" s="244" t="s">
        <v>516</v>
      </c>
      <c r="D135" s="245">
        <v>5257</v>
      </c>
      <c r="E135" s="245">
        <v>2647</v>
      </c>
      <c r="F135" s="245">
        <v>2610</v>
      </c>
      <c r="G135" s="231"/>
      <c r="H135" s="244" t="s">
        <v>516</v>
      </c>
      <c r="I135" s="245">
        <v>12311</v>
      </c>
      <c r="J135" s="245">
        <v>6256</v>
      </c>
      <c r="K135" s="245">
        <v>6055</v>
      </c>
      <c r="L135" s="231"/>
      <c r="M135" s="244" t="s">
        <v>516</v>
      </c>
      <c r="N135" s="245">
        <v>16852</v>
      </c>
      <c r="O135" s="245">
        <v>8480</v>
      </c>
      <c r="P135" s="245">
        <v>8372</v>
      </c>
      <c r="Q135" s="231"/>
      <c r="R135" s="244" t="s">
        <v>516</v>
      </c>
      <c r="S135" s="245">
        <v>2809</v>
      </c>
      <c r="T135" s="245">
        <v>1449</v>
      </c>
      <c r="U135" s="245">
        <v>1360</v>
      </c>
    </row>
    <row r="136" spans="3:21" ht="15.75">
      <c r="C136" s="244" t="s">
        <v>517</v>
      </c>
      <c r="D136" s="245">
        <v>5324</v>
      </c>
      <c r="E136" s="245">
        <v>2676</v>
      </c>
      <c r="F136" s="245">
        <v>2648</v>
      </c>
      <c r="G136" s="231"/>
      <c r="H136" s="244" t="s">
        <v>517</v>
      </c>
      <c r="I136" s="245">
        <v>12467</v>
      </c>
      <c r="J136" s="245">
        <v>6325</v>
      </c>
      <c r="K136" s="245">
        <v>6142</v>
      </c>
      <c r="L136" s="231"/>
      <c r="M136" s="244" t="s">
        <v>517</v>
      </c>
      <c r="N136" s="245">
        <v>16987</v>
      </c>
      <c r="O136" s="245">
        <v>8542</v>
      </c>
      <c r="P136" s="245">
        <v>8445</v>
      </c>
      <c r="Q136" s="231"/>
      <c r="R136" s="244" t="s">
        <v>517</v>
      </c>
      <c r="S136" s="245">
        <v>2838</v>
      </c>
      <c r="T136" s="245">
        <v>1461</v>
      </c>
      <c r="U136" s="245">
        <v>1377</v>
      </c>
    </row>
    <row r="137" spans="3:21" ht="15.75">
      <c r="C137" s="244" t="s">
        <v>518</v>
      </c>
      <c r="D137" s="245">
        <v>5394</v>
      </c>
      <c r="E137" s="245">
        <v>2706</v>
      </c>
      <c r="F137" s="245">
        <v>2688</v>
      </c>
      <c r="G137" s="231"/>
      <c r="H137" s="244" t="s">
        <v>518</v>
      </c>
      <c r="I137" s="245">
        <v>12632</v>
      </c>
      <c r="J137" s="245">
        <v>6397</v>
      </c>
      <c r="K137" s="245">
        <v>6235</v>
      </c>
      <c r="L137" s="231"/>
      <c r="M137" s="244" t="s">
        <v>518</v>
      </c>
      <c r="N137" s="245">
        <v>17191</v>
      </c>
      <c r="O137" s="245">
        <v>8629</v>
      </c>
      <c r="P137" s="245">
        <v>8562</v>
      </c>
      <c r="Q137" s="231"/>
      <c r="R137" s="244" t="s">
        <v>518</v>
      </c>
      <c r="S137" s="245">
        <v>2863</v>
      </c>
      <c r="T137" s="245">
        <v>1472</v>
      </c>
      <c r="U137" s="245">
        <v>1391</v>
      </c>
    </row>
    <row r="138" spans="3:21" ht="15.75">
      <c r="C138" s="244" t="s">
        <v>519</v>
      </c>
      <c r="D138" s="245">
        <v>5469</v>
      </c>
      <c r="E138" s="245">
        <v>2738</v>
      </c>
      <c r="F138" s="245">
        <v>2731</v>
      </c>
      <c r="G138" s="231"/>
      <c r="H138" s="244" t="s">
        <v>519</v>
      </c>
      <c r="I138" s="245">
        <v>12799</v>
      </c>
      <c r="J138" s="245">
        <v>6468</v>
      </c>
      <c r="K138" s="245">
        <v>6331</v>
      </c>
      <c r="L138" s="231"/>
      <c r="M138" s="244" t="s">
        <v>519</v>
      </c>
      <c r="N138" s="245">
        <v>17396</v>
      </c>
      <c r="O138" s="245">
        <v>8707</v>
      </c>
      <c r="P138" s="245">
        <v>8689</v>
      </c>
      <c r="Q138" s="231"/>
      <c r="R138" s="244" t="s">
        <v>519</v>
      </c>
      <c r="S138" s="245">
        <v>2879</v>
      </c>
      <c r="T138" s="245">
        <v>1477</v>
      </c>
      <c r="U138" s="245">
        <v>1402</v>
      </c>
    </row>
    <row r="139" spans="3:21" ht="15.75">
      <c r="C139" s="244" t="s">
        <v>520</v>
      </c>
      <c r="D139" s="245">
        <v>5537</v>
      </c>
      <c r="E139" s="245">
        <v>2769</v>
      </c>
      <c r="F139" s="245">
        <v>2768</v>
      </c>
      <c r="G139" s="231"/>
      <c r="H139" s="244" t="s">
        <v>520</v>
      </c>
      <c r="I139" s="245">
        <v>12986</v>
      </c>
      <c r="J139" s="245">
        <v>6554</v>
      </c>
      <c r="K139" s="245">
        <v>6432</v>
      </c>
      <c r="L139" s="231"/>
      <c r="M139" s="244" t="s">
        <v>520</v>
      </c>
      <c r="N139" s="245">
        <v>17597</v>
      </c>
      <c r="O139" s="245">
        <v>8795</v>
      </c>
      <c r="P139" s="245">
        <v>8802</v>
      </c>
      <c r="Q139" s="231"/>
      <c r="R139" s="244" t="s">
        <v>520</v>
      </c>
      <c r="S139" s="245">
        <v>2932</v>
      </c>
      <c r="T139" s="245">
        <v>1502</v>
      </c>
      <c r="U139" s="245">
        <v>1430</v>
      </c>
    </row>
    <row r="140" spans="3:21" ht="15.75">
      <c r="C140" s="244" t="s">
        <v>521</v>
      </c>
      <c r="D140" s="245">
        <v>5588</v>
      </c>
      <c r="E140" s="245">
        <v>2793</v>
      </c>
      <c r="F140" s="245">
        <v>2795</v>
      </c>
      <c r="G140" s="231"/>
      <c r="H140" s="244" t="s">
        <v>521</v>
      </c>
      <c r="I140" s="245">
        <v>13196</v>
      </c>
      <c r="J140" s="245">
        <v>6659</v>
      </c>
      <c r="K140" s="245">
        <v>6537</v>
      </c>
      <c r="L140" s="231"/>
      <c r="M140" s="244" t="s">
        <v>521</v>
      </c>
      <c r="N140" s="245">
        <v>17779</v>
      </c>
      <c r="O140" s="245">
        <v>8883</v>
      </c>
      <c r="P140" s="245">
        <v>8896</v>
      </c>
      <c r="Q140" s="231"/>
      <c r="R140" s="244" t="s">
        <v>521</v>
      </c>
      <c r="S140" s="245">
        <v>3043</v>
      </c>
      <c r="T140" s="245">
        <v>1559</v>
      </c>
      <c r="U140" s="245">
        <v>1484</v>
      </c>
    </row>
    <row r="141" spans="3:21" ht="15.75">
      <c r="C141" s="244" t="s">
        <v>522</v>
      </c>
      <c r="D141" s="245">
        <v>5618</v>
      </c>
      <c r="E141" s="245">
        <v>2810</v>
      </c>
      <c r="F141" s="245">
        <v>2808</v>
      </c>
      <c r="G141" s="231"/>
      <c r="H141" s="244" t="s">
        <v>522</v>
      </c>
      <c r="I141" s="245">
        <v>13338</v>
      </c>
      <c r="J141" s="245">
        <v>6734</v>
      </c>
      <c r="K141" s="245">
        <v>6604</v>
      </c>
      <c r="L141" s="231"/>
      <c r="M141" s="244" t="s">
        <v>522</v>
      </c>
      <c r="N141" s="245">
        <v>17954</v>
      </c>
      <c r="O141" s="245">
        <v>8973</v>
      </c>
      <c r="P141" s="245">
        <v>8981</v>
      </c>
      <c r="Q141" s="231"/>
      <c r="R141" s="244" t="s">
        <v>522</v>
      </c>
      <c r="S141" s="245">
        <v>3134</v>
      </c>
      <c r="T141" s="245">
        <v>1605</v>
      </c>
      <c r="U141" s="245">
        <v>1529</v>
      </c>
    </row>
    <row r="142" spans="3:21" ht="15.75">
      <c r="C142" s="244" t="s">
        <v>523</v>
      </c>
      <c r="D142" s="245">
        <v>5649</v>
      </c>
      <c r="E142" s="245">
        <v>2825</v>
      </c>
      <c r="F142" s="245">
        <v>2824</v>
      </c>
      <c r="G142" s="231"/>
      <c r="H142" s="244" t="s">
        <v>523</v>
      </c>
      <c r="I142" s="245">
        <v>13537</v>
      </c>
      <c r="J142" s="245">
        <v>6833</v>
      </c>
      <c r="K142" s="245">
        <v>6704</v>
      </c>
      <c r="L142" s="231"/>
      <c r="M142" s="244" t="s">
        <v>523</v>
      </c>
      <c r="N142" s="245">
        <v>18102</v>
      </c>
      <c r="O142" s="245">
        <v>9048</v>
      </c>
      <c r="P142" s="245">
        <v>9054</v>
      </c>
      <c r="Q142" s="231"/>
      <c r="R142" s="244" t="s">
        <v>523</v>
      </c>
      <c r="S142" s="245">
        <v>3293</v>
      </c>
      <c r="T142" s="245">
        <v>1686</v>
      </c>
      <c r="U142" s="245">
        <v>1607</v>
      </c>
    </row>
    <row r="143" spans="3:21" ht="15.75">
      <c r="C143" s="244" t="s">
        <v>524</v>
      </c>
      <c r="D143" s="245">
        <v>5689</v>
      </c>
      <c r="E143" s="245">
        <v>2842</v>
      </c>
      <c r="F143" s="245">
        <v>2847</v>
      </c>
      <c r="G143" s="231"/>
      <c r="H143" s="244" t="s">
        <v>524</v>
      </c>
      <c r="I143" s="245">
        <v>13735</v>
      </c>
      <c r="J143" s="245">
        <v>6928</v>
      </c>
      <c r="K143" s="245">
        <v>6807</v>
      </c>
      <c r="L143" s="231"/>
      <c r="M143" s="244" t="s">
        <v>524</v>
      </c>
      <c r="N143" s="245">
        <v>18318</v>
      </c>
      <c r="O143" s="245">
        <v>9147</v>
      </c>
      <c r="P143" s="245">
        <v>9171</v>
      </c>
      <c r="Q143" s="231"/>
      <c r="R143" s="244" t="s">
        <v>524</v>
      </c>
      <c r="S143" s="245">
        <v>3448</v>
      </c>
      <c r="T143" s="245">
        <v>1764</v>
      </c>
      <c r="U143" s="245">
        <v>1684</v>
      </c>
    </row>
    <row r="144" spans="3:21" ht="15.75">
      <c r="C144" s="244" t="s">
        <v>525</v>
      </c>
      <c r="D144" s="245">
        <v>5701</v>
      </c>
      <c r="E144" s="245">
        <v>2847</v>
      </c>
      <c r="F144" s="245">
        <v>2854</v>
      </c>
      <c r="G144" s="231"/>
      <c r="H144" s="244" t="s">
        <v>525</v>
      </c>
      <c r="I144" s="245">
        <v>13892</v>
      </c>
      <c r="J144" s="245">
        <v>7004</v>
      </c>
      <c r="K144" s="245">
        <v>6888</v>
      </c>
      <c r="L144" s="231"/>
      <c r="M144" s="244" t="s">
        <v>525</v>
      </c>
      <c r="N144" s="245">
        <v>18373</v>
      </c>
      <c r="O144" s="245">
        <v>9169</v>
      </c>
      <c r="P144" s="245">
        <v>9204</v>
      </c>
      <c r="Q144" s="231"/>
      <c r="R144" s="244" t="s">
        <v>525</v>
      </c>
      <c r="S144" s="245">
        <v>3586</v>
      </c>
      <c r="T144" s="245">
        <v>1835</v>
      </c>
      <c r="U144" s="245">
        <v>1751</v>
      </c>
    </row>
    <row r="145" spans="3:21" ht="15">
      <c r="C145" s="247"/>
      <c r="D145" s="248"/>
      <c r="E145" s="248"/>
      <c r="F145" s="248"/>
      <c r="G145" s="247"/>
      <c r="H145" s="247"/>
      <c r="I145" s="248"/>
      <c r="J145" s="248"/>
      <c r="K145" s="248"/>
      <c r="L145" s="247"/>
      <c r="M145" s="247"/>
      <c r="N145" s="248"/>
      <c r="O145" s="248"/>
      <c r="P145" s="248"/>
      <c r="Q145" s="247"/>
      <c r="R145" s="247"/>
      <c r="S145" s="248"/>
      <c r="T145" s="248"/>
      <c r="U145" s="248"/>
    </row>
    <row r="146" spans="3:21" ht="15">
      <c r="C146" s="231"/>
      <c r="D146" s="231"/>
      <c r="E146" s="231"/>
      <c r="F146" s="231"/>
      <c r="G146" s="231"/>
      <c r="H146" s="231"/>
      <c r="I146" s="231"/>
      <c r="J146" s="231"/>
      <c r="K146" s="231"/>
      <c r="L146" s="231"/>
      <c r="M146" s="231"/>
      <c r="N146" s="231"/>
      <c r="O146" s="231"/>
      <c r="P146" s="231"/>
      <c r="Q146" s="231"/>
      <c r="R146" s="231"/>
      <c r="S146" s="231"/>
      <c r="T146" s="231"/>
      <c r="U146" s="231"/>
    </row>
    <row r="147" spans="3:21" ht="17.25">
      <c r="C147" s="230" t="s">
        <v>553</v>
      </c>
      <c r="D147" s="231"/>
      <c r="E147" s="231"/>
      <c r="F147" s="231"/>
      <c r="G147" s="231"/>
      <c r="H147" s="230" t="s">
        <v>554</v>
      </c>
      <c r="I147" s="231"/>
      <c r="J147" s="231"/>
      <c r="K147" s="231"/>
      <c r="L147" s="231"/>
      <c r="M147" s="230" t="s">
        <v>555</v>
      </c>
      <c r="N147" s="231"/>
      <c r="O147" s="231"/>
      <c r="P147" s="231"/>
      <c r="Q147" s="231"/>
      <c r="R147" s="230" t="s">
        <v>556</v>
      </c>
      <c r="S147" s="231"/>
      <c r="T147" s="231"/>
      <c r="U147" s="231"/>
    </row>
    <row r="148" spans="3:21" ht="47.25">
      <c r="C148" s="225" t="s">
        <v>506</v>
      </c>
      <c r="D148" s="232" t="s">
        <v>564</v>
      </c>
      <c r="E148" s="232" t="s">
        <v>565</v>
      </c>
      <c r="F148" s="232" t="s">
        <v>566</v>
      </c>
      <c r="G148" s="227"/>
      <c r="H148" s="225" t="s">
        <v>506</v>
      </c>
      <c r="I148" s="232" t="s">
        <v>564</v>
      </c>
      <c r="J148" s="232" t="s">
        <v>565</v>
      </c>
      <c r="K148" s="232" t="s">
        <v>566</v>
      </c>
      <c r="L148" s="227"/>
      <c r="M148" s="225" t="s">
        <v>506</v>
      </c>
      <c r="N148" s="232" t="s">
        <v>564</v>
      </c>
      <c r="O148" s="232" t="s">
        <v>565</v>
      </c>
      <c r="P148" s="232" t="s">
        <v>566</v>
      </c>
      <c r="Q148" s="227"/>
      <c r="R148" s="225" t="s">
        <v>506</v>
      </c>
      <c r="S148" s="232" t="s">
        <v>564</v>
      </c>
      <c r="T148" s="232" t="s">
        <v>565</v>
      </c>
      <c r="U148" s="232" t="s">
        <v>566</v>
      </c>
    </row>
    <row r="149" spans="3:21" ht="15.75">
      <c r="C149" s="225" t="s">
        <v>535</v>
      </c>
      <c r="D149" s="226">
        <v>28643</v>
      </c>
      <c r="E149" s="226">
        <v>14316</v>
      </c>
      <c r="F149" s="226">
        <v>14327</v>
      </c>
      <c r="G149" s="227"/>
      <c r="H149" s="225" t="s">
        <v>535</v>
      </c>
      <c r="I149" s="226">
        <v>26306</v>
      </c>
      <c r="J149" s="226">
        <v>13948</v>
      </c>
      <c r="K149" s="226">
        <v>12358</v>
      </c>
      <c r="L149" s="227"/>
      <c r="M149" s="225" t="s">
        <v>535</v>
      </c>
      <c r="N149" s="226">
        <v>32798</v>
      </c>
      <c r="O149" s="226">
        <v>16855</v>
      </c>
      <c r="P149" s="226">
        <v>15943</v>
      </c>
      <c r="Q149" s="227"/>
      <c r="R149" s="225" t="s">
        <v>535</v>
      </c>
      <c r="S149" s="226">
        <v>69141</v>
      </c>
      <c r="T149" s="226">
        <v>35839</v>
      </c>
      <c r="U149" s="226">
        <v>33302</v>
      </c>
    </row>
    <row r="150" spans="3:21" ht="15.75">
      <c r="C150" s="244" t="s">
        <v>507</v>
      </c>
      <c r="D150" s="245">
        <v>1250</v>
      </c>
      <c r="E150" s="245">
        <v>634</v>
      </c>
      <c r="F150" s="245">
        <v>616</v>
      </c>
      <c r="G150" s="246"/>
      <c r="H150" s="244" t="s">
        <v>507</v>
      </c>
      <c r="I150" s="245">
        <v>1404</v>
      </c>
      <c r="J150" s="245">
        <v>744</v>
      </c>
      <c r="K150" s="245">
        <v>660</v>
      </c>
      <c r="L150" s="246"/>
      <c r="M150" s="244" t="s">
        <v>507</v>
      </c>
      <c r="N150" s="245">
        <v>1778</v>
      </c>
      <c r="O150" s="245">
        <v>914</v>
      </c>
      <c r="P150" s="245">
        <v>864</v>
      </c>
      <c r="Q150" s="246"/>
      <c r="R150" s="244" t="s">
        <v>507</v>
      </c>
      <c r="S150" s="245">
        <v>3451</v>
      </c>
      <c r="T150" s="245">
        <v>1792</v>
      </c>
      <c r="U150" s="245">
        <v>1659</v>
      </c>
    </row>
    <row r="151" spans="3:21" ht="15.75">
      <c r="C151" s="244" t="s">
        <v>508</v>
      </c>
      <c r="D151" s="245">
        <v>1277</v>
      </c>
      <c r="E151" s="245">
        <v>641</v>
      </c>
      <c r="F151" s="245">
        <v>636</v>
      </c>
      <c r="G151" s="246"/>
      <c r="H151" s="244" t="s">
        <v>508</v>
      </c>
      <c r="I151" s="245">
        <v>1390</v>
      </c>
      <c r="J151" s="245">
        <v>739</v>
      </c>
      <c r="K151" s="245">
        <v>651</v>
      </c>
      <c r="L151" s="246"/>
      <c r="M151" s="244" t="s">
        <v>508</v>
      </c>
      <c r="N151" s="245">
        <v>1726</v>
      </c>
      <c r="O151" s="245">
        <v>890</v>
      </c>
      <c r="P151" s="245">
        <v>836</v>
      </c>
      <c r="Q151" s="246"/>
      <c r="R151" s="244" t="s">
        <v>508</v>
      </c>
      <c r="S151" s="245">
        <v>3407</v>
      </c>
      <c r="T151" s="245">
        <v>1771</v>
      </c>
      <c r="U151" s="245">
        <v>1636</v>
      </c>
    </row>
    <row r="152" spans="3:21" ht="15.75">
      <c r="C152" s="244" t="s">
        <v>509</v>
      </c>
      <c r="D152" s="245">
        <v>1283</v>
      </c>
      <c r="E152" s="245">
        <v>643</v>
      </c>
      <c r="F152" s="245">
        <v>640</v>
      </c>
      <c r="G152" s="246"/>
      <c r="H152" s="244" t="s">
        <v>509</v>
      </c>
      <c r="I152" s="245">
        <v>1350</v>
      </c>
      <c r="J152" s="245">
        <v>718</v>
      </c>
      <c r="K152" s="245">
        <v>632</v>
      </c>
      <c r="L152" s="246"/>
      <c r="M152" s="244" t="s">
        <v>509</v>
      </c>
      <c r="N152" s="245">
        <v>1689</v>
      </c>
      <c r="O152" s="245">
        <v>871</v>
      </c>
      <c r="P152" s="245">
        <v>818</v>
      </c>
      <c r="Q152" s="246"/>
      <c r="R152" s="244" t="s">
        <v>509</v>
      </c>
      <c r="S152" s="245">
        <v>3379</v>
      </c>
      <c r="T152" s="245">
        <v>1756</v>
      </c>
      <c r="U152" s="245">
        <v>1623</v>
      </c>
    </row>
    <row r="153" spans="3:21" ht="15.75">
      <c r="C153" s="244" t="s">
        <v>510</v>
      </c>
      <c r="D153" s="245">
        <v>1286</v>
      </c>
      <c r="E153" s="245">
        <v>645</v>
      </c>
      <c r="F153" s="245">
        <v>641</v>
      </c>
      <c r="G153" s="231"/>
      <c r="H153" s="244" t="s">
        <v>510</v>
      </c>
      <c r="I153" s="245">
        <v>1318</v>
      </c>
      <c r="J153" s="245">
        <v>701</v>
      </c>
      <c r="K153" s="245">
        <v>617</v>
      </c>
      <c r="L153" s="231"/>
      <c r="M153" s="244" t="s">
        <v>510</v>
      </c>
      <c r="N153" s="245">
        <v>1656</v>
      </c>
      <c r="O153" s="245">
        <v>854</v>
      </c>
      <c r="P153" s="245">
        <v>802</v>
      </c>
      <c r="Q153" s="231"/>
      <c r="R153" s="244" t="s">
        <v>510</v>
      </c>
      <c r="S153" s="245">
        <v>3357</v>
      </c>
      <c r="T153" s="245">
        <v>1746</v>
      </c>
      <c r="U153" s="245">
        <v>1611</v>
      </c>
    </row>
    <row r="154" spans="3:21" ht="15.75">
      <c r="C154" s="244" t="s">
        <v>511</v>
      </c>
      <c r="D154" s="245">
        <v>1288</v>
      </c>
      <c r="E154" s="245">
        <v>647</v>
      </c>
      <c r="F154" s="245">
        <v>641</v>
      </c>
      <c r="G154" s="231"/>
      <c r="H154" s="244" t="s">
        <v>511</v>
      </c>
      <c r="I154" s="245">
        <v>1292</v>
      </c>
      <c r="J154" s="245">
        <v>688</v>
      </c>
      <c r="K154" s="245">
        <v>604</v>
      </c>
      <c r="L154" s="231"/>
      <c r="M154" s="244" t="s">
        <v>511</v>
      </c>
      <c r="N154" s="245">
        <v>1634</v>
      </c>
      <c r="O154" s="245">
        <v>843</v>
      </c>
      <c r="P154" s="245">
        <v>791</v>
      </c>
      <c r="Q154" s="231"/>
      <c r="R154" s="244" t="s">
        <v>511</v>
      </c>
      <c r="S154" s="245">
        <v>3345</v>
      </c>
      <c r="T154" s="245">
        <v>1741</v>
      </c>
      <c r="U154" s="245">
        <v>1604</v>
      </c>
    </row>
    <row r="155" spans="3:21" ht="15.75">
      <c r="C155" s="244" t="s">
        <v>512</v>
      </c>
      <c r="D155" s="245">
        <v>1302</v>
      </c>
      <c r="E155" s="245">
        <v>654</v>
      </c>
      <c r="F155" s="245">
        <v>648</v>
      </c>
      <c r="G155" s="231"/>
      <c r="H155" s="244" t="s">
        <v>512</v>
      </c>
      <c r="I155" s="245">
        <v>1275</v>
      </c>
      <c r="J155" s="245">
        <v>679</v>
      </c>
      <c r="K155" s="245">
        <v>596</v>
      </c>
      <c r="L155" s="231"/>
      <c r="M155" s="244" t="s">
        <v>512</v>
      </c>
      <c r="N155" s="245">
        <v>1618</v>
      </c>
      <c r="O155" s="245">
        <v>835</v>
      </c>
      <c r="P155" s="245">
        <v>783</v>
      </c>
      <c r="Q155" s="231"/>
      <c r="R155" s="244" t="s">
        <v>512</v>
      </c>
      <c r="S155" s="245">
        <v>3347</v>
      </c>
      <c r="T155" s="245">
        <v>1743</v>
      </c>
      <c r="U155" s="245">
        <v>1604</v>
      </c>
    </row>
    <row r="156" spans="3:21" ht="15.75">
      <c r="C156" s="244" t="s">
        <v>513</v>
      </c>
      <c r="D156" s="245">
        <v>1315</v>
      </c>
      <c r="E156" s="245">
        <v>660</v>
      </c>
      <c r="F156" s="245">
        <v>655</v>
      </c>
      <c r="G156" s="231"/>
      <c r="H156" s="244" t="s">
        <v>513</v>
      </c>
      <c r="I156" s="245">
        <v>1258</v>
      </c>
      <c r="J156" s="245">
        <v>670</v>
      </c>
      <c r="K156" s="245">
        <v>588</v>
      </c>
      <c r="L156" s="231"/>
      <c r="M156" s="244" t="s">
        <v>513</v>
      </c>
      <c r="N156" s="245">
        <v>1600</v>
      </c>
      <c r="O156" s="245">
        <v>826</v>
      </c>
      <c r="P156" s="245">
        <v>774</v>
      </c>
      <c r="Q156" s="231"/>
      <c r="R156" s="244" t="s">
        <v>513</v>
      </c>
      <c r="S156" s="245">
        <v>3347</v>
      </c>
      <c r="T156" s="245">
        <v>1744</v>
      </c>
      <c r="U156" s="245">
        <v>1603</v>
      </c>
    </row>
    <row r="157" spans="3:21" ht="15.75">
      <c r="C157" s="244" t="s">
        <v>514</v>
      </c>
      <c r="D157" s="245">
        <v>1311</v>
      </c>
      <c r="E157" s="245">
        <v>658</v>
      </c>
      <c r="F157" s="245">
        <v>653</v>
      </c>
      <c r="G157" s="231"/>
      <c r="H157" s="244" t="s">
        <v>514</v>
      </c>
      <c r="I157" s="245">
        <v>1257</v>
      </c>
      <c r="J157" s="245">
        <v>670</v>
      </c>
      <c r="K157" s="245">
        <v>587</v>
      </c>
      <c r="L157" s="231"/>
      <c r="M157" s="244" t="s">
        <v>514</v>
      </c>
      <c r="N157" s="245">
        <v>1604</v>
      </c>
      <c r="O157" s="245">
        <v>828</v>
      </c>
      <c r="P157" s="245">
        <v>776</v>
      </c>
      <c r="Q157" s="231"/>
      <c r="R157" s="244" t="s">
        <v>514</v>
      </c>
      <c r="S157" s="245">
        <v>3372</v>
      </c>
      <c r="T157" s="245">
        <v>1756</v>
      </c>
      <c r="U157" s="245">
        <v>1616</v>
      </c>
    </row>
    <row r="158" spans="3:21" ht="15.75">
      <c r="C158" s="244" t="s">
        <v>515</v>
      </c>
      <c r="D158" s="245">
        <v>1317</v>
      </c>
      <c r="E158" s="245">
        <v>661</v>
      </c>
      <c r="F158" s="245">
        <v>656</v>
      </c>
      <c r="G158" s="231"/>
      <c r="H158" s="244" t="s">
        <v>515</v>
      </c>
      <c r="I158" s="245">
        <v>1263</v>
      </c>
      <c r="J158" s="245">
        <v>672</v>
      </c>
      <c r="K158" s="245">
        <v>591</v>
      </c>
      <c r="L158" s="231"/>
      <c r="M158" s="244" t="s">
        <v>515</v>
      </c>
      <c r="N158" s="245">
        <v>1616</v>
      </c>
      <c r="O158" s="245">
        <v>833</v>
      </c>
      <c r="P158" s="245">
        <v>783</v>
      </c>
      <c r="Q158" s="231"/>
      <c r="R158" s="244" t="s">
        <v>515</v>
      </c>
      <c r="S158" s="245">
        <v>3412</v>
      </c>
      <c r="T158" s="245">
        <v>1775</v>
      </c>
      <c r="U158" s="245">
        <v>1637</v>
      </c>
    </row>
    <row r="159" spans="3:21" ht="15.75">
      <c r="C159" s="244" t="s">
        <v>516</v>
      </c>
      <c r="D159" s="245">
        <v>1339</v>
      </c>
      <c r="E159" s="245">
        <v>671</v>
      </c>
      <c r="F159" s="245">
        <v>668</v>
      </c>
      <c r="G159" s="231"/>
      <c r="H159" s="244" t="s">
        <v>516</v>
      </c>
      <c r="I159" s="245">
        <v>1281</v>
      </c>
      <c r="J159" s="245">
        <v>681</v>
      </c>
      <c r="K159" s="245">
        <v>600</v>
      </c>
      <c r="L159" s="231"/>
      <c r="M159" s="244" t="s">
        <v>516</v>
      </c>
      <c r="N159" s="245">
        <v>1639</v>
      </c>
      <c r="O159" s="245">
        <v>844</v>
      </c>
      <c r="P159" s="245">
        <v>795</v>
      </c>
      <c r="Q159" s="231"/>
      <c r="R159" s="244" t="s">
        <v>516</v>
      </c>
      <c r="S159" s="245">
        <v>3467</v>
      </c>
      <c r="T159" s="245">
        <v>1801</v>
      </c>
      <c r="U159" s="245">
        <v>1666</v>
      </c>
    </row>
    <row r="160" spans="3:21" ht="15.75">
      <c r="C160" s="244" t="s">
        <v>517</v>
      </c>
      <c r="D160" s="245">
        <v>1376</v>
      </c>
      <c r="E160" s="245">
        <v>688</v>
      </c>
      <c r="F160" s="245">
        <v>688</v>
      </c>
      <c r="G160" s="231"/>
      <c r="H160" s="244" t="s">
        <v>517</v>
      </c>
      <c r="I160" s="245">
        <v>1306</v>
      </c>
      <c r="J160" s="245">
        <v>693</v>
      </c>
      <c r="K160" s="245">
        <v>613</v>
      </c>
      <c r="L160" s="231"/>
      <c r="M160" s="244" t="s">
        <v>517</v>
      </c>
      <c r="N160" s="245">
        <v>1667</v>
      </c>
      <c r="O160" s="245">
        <v>858</v>
      </c>
      <c r="P160" s="245">
        <v>809</v>
      </c>
      <c r="Q160" s="231"/>
      <c r="R160" s="244" t="s">
        <v>517</v>
      </c>
      <c r="S160" s="245">
        <v>3538</v>
      </c>
      <c r="T160" s="245">
        <v>1835</v>
      </c>
      <c r="U160" s="245">
        <v>1703</v>
      </c>
    </row>
    <row r="161" spans="3:21" ht="15.75">
      <c r="C161" s="244" t="s">
        <v>518</v>
      </c>
      <c r="D161" s="245">
        <v>1410</v>
      </c>
      <c r="E161" s="245">
        <v>704</v>
      </c>
      <c r="F161" s="245">
        <v>706</v>
      </c>
      <c r="G161" s="231"/>
      <c r="H161" s="244" t="s">
        <v>518</v>
      </c>
      <c r="I161" s="245">
        <v>1334</v>
      </c>
      <c r="J161" s="245">
        <v>707</v>
      </c>
      <c r="K161" s="245">
        <v>627</v>
      </c>
      <c r="L161" s="231"/>
      <c r="M161" s="244" t="s">
        <v>518</v>
      </c>
      <c r="N161" s="245">
        <v>1699</v>
      </c>
      <c r="O161" s="245">
        <v>872</v>
      </c>
      <c r="P161" s="245">
        <v>827</v>
      </c>
      <c r="Q161" s="231"/>
      <c r="R161" s="244" t="s">
        <v>518</v>
      </c>
      <c r="S161" s="245">
        <v>3613</v>
      </c>
      <c r="T161" s="245">
        <v>1871</v>
      </c>
      <c r="U161" s="245">
        <v>1742</v>
      </c>
    </row>
    <row r="162" spans="3:21" ht="15.75">
      <c r="C162" s="244" t="s">
        <v>519</v>
      </c>
      <c r="D162" s="245">
        <v>1437</v>
      </c>
      <c r="E162" s="245">
        <v>716</v>
      </c>
      <c r="F162" s="245">
        <v>721</v>
      </c>
      <c r="G162" s="231"/>
      <c r="H162" s="244" t="s">
        <v>519</v>
      </c>
      <c r="I162" s="245">
        <v>1365</v>
      </c>
      <c r="J162" s="245">
        <v>722</v>
      </c>
      <c r="K162" s="245">
        <v>643</v>
      </c>
      <c r="L162" s="231"/>
      <c r="M162" s="244" t="s">
        <v>519</v>
      </c>
      <c r="N162" s="245">
        <v>1733</v>
      </c>
      <c r="O162" s="245">
        <v>888</v>
      </c>
      <c r="P162" s="245">
        <v>845</v>
      </c>
      <c r="Q162" s="231"/>
      <c r="R162" s="244" t="s">
        <v>519</v>
      </c>
      <c r="S162" s="245">
        <v>3689</v>
      </c>
      <c r="T162" s="245">
        <v>1907</v>
      </c>
      <c r="U162" s="245">
        <v>1782</v>
      </c>
    </row>
    <row r="163" spans="3:21" ht="15.75">
      <c r="C163" s="244" t="s">
        <v>520</v>
      </c>
      <c r="D163" s="245">
        <v>1506</v>
      </c>
      <c r="E163" s="245">
        <v>749</v>
      </c>
      <c r="F163" s="245">
        <v>757</v>
      </c>
      <c r="G163" s="231"/>
      <c r="H163" s="244" t="s">
        <v>520</v>
      </c>
      <c r="I163" s="245">
        <v>1404</v>
      </c>
      <c r="J163" s="245">
        <v>741</v>
      </c>
      <c r="K163" s="245">
        <v>663</v>
      </c>
      <c r="L163" s="231"/>
      <c r="M163" s="244" t="s">
        <v>520</v>
      </c>
      <c r="N163" s="245">
        <v>1770</v>
      </c>
      <c r="O163" s="245">
        <v>906</v>
      </c>
      <c r="P163" s="245">
        <v>864</v>
      </c>
      <c r="Q163" s="231"/>
      <c r="R163" s="244" t="s">
        <v>520</v>
      </c>
      <c r="S163" s="245">
        <v>3779</v>
      </c>
      <c r="T163" s="245">
        <v>1951</v>
      </c>
      <c r="U163" s="245">
        <v>1828</v>
      </c>
    </row>
    <row r="164" spans="3:21" ht="15.75">
      <c r="C164" s="244" t="s">
        <v>521</v>
      </c>
      <c r="D164" s="245">
        <v>1640</v>
      </c>
      <c r="E164" s="245">
        <v>816</v>
      </c>
      <c r="F164" s="245">
        <v>824</v>
      </c>
      <c r="G164" s="231"/>
      <c r="H164" s="244" t="s">
        <v>521</v>
      </c>
      <c r="I164" s="245">
        <v>1453</v>
      </c>
      <c r="J164" s="245">
        <v>767</v>
      </c>
      <c r="K164" s="245">
        <v>686</v>
      </c>
      <c r="L164" s="231"/>
      <c r="M164" s="244" t="s">
        <v>521</v>
      </c>
      <c r="N164" s="245">
        <v>1806</v>
      </c>
      <c r="O164" s="245">
        <v>924</v>
      </c>
      <c r="P164" s="245">
        <v>882</v>
      </c>
      <c r="Q164" s="231"/>
      <c r="R164" s="244" t="s">
        <v>521</v>
      </c>
      <c r="S164" s="245">
        <v>3891</v>
      </c>
      <c r="T164" s="245">
        <v>2009</v>
      </c>
      <c r="U164" s="245">
        <v>1882</v>
      </c>
    </row>
    <row r="165" spans="3:21" ht="15.75">
      <c r="C165" s="244" t="s">
        <v>522</v>
      </c>
      <c r="D165" s="245">
        <v>1792</v>
      </c>
      <c r="E165" s="245">
        <v>892</v>
      </c>
      <c r="F165" s="245">
        <v>900</v>
      </c>
      <c r="G165" s="231"/>
      <c r="H165" s="244" t="s">
        <v>522</v>
      </c>
      <c r="I165" s="245">
        <v>1504</v>
      </c>
      <c r="J165" s="245">
        <v>795</v>
      </c>
      <c r="K165" s="245">
        <v>709</v>
      </c>
      <c r="L165" s="231"/>
      <c r="M165" s="244" t="s">
        <v>522</v>
      </c>
      <c r="N165" s="245">
        <v>1843</v>
      </c>
      <c r="O165" s="245">
        <v>943</v>
      </c>
      <c r="P165" s="245">
        <v>900</v>
      </c>
      <c r="Q165" s="231"/>
      <c r="R165" s="244" t="s">
        <v>522</v>
      </c>
      <c r="S165" s="245">
        <v>4005</v>
      </c>
      <c r="T165" s="245">
        <v>2068</v>
      </c>
      <c r="U165" s="245">
        <v>1937</v>
      </c>
    </row>
    <row r="166" spans="3:21" ht="15.75">
      <c r="C166" s="244" t="s">
        <v>523</v>
      </c>
      <c r="D166" s="245">
        <v>1986</v>
      </c>
      <c r="E166" s="245">
        <v>988</v>
      </c>
      <c r="F166" s="245">
        <v>998</v>
      </c>
      <c r="G166" s="231"/>
      <c r="H166" s="244" t="s">
        <v>523</v>
      </c>
      <c r="I166" s="245">
        <v>1562</v>
      </c>
      <c r="J166" s="245">
        <v>825</v>
      </c>
      <c r="K166" s="245">
        <v>737</v>
      </c>
      <c r="L166" s="231"/>
      <c r="M166" s="244" t="s">
        <v>523</v>
      </c>
      <c r="N166" s="245">
        <v>1878</v>
      </c>
      <c r="O166" s="245">
        <v>961</v>
      </c>
      <c r="P166" s="245">
        <v>917</v>
      </c>
      <c r="Q166" s="231"/>
      <c r="R166" s="244" t="s">
        <v>523</v>
      </c>
      <c r="S166" s="245">
        <v>4130</v>
      </c>
      <c r="T166" s="245">
        <v>2132</v>
      </c>
      <c r="U166" s="245">
        <v>1998</v>
      </c>
    </row>
    <row r="167" spans="3:21" ht="15.75">
      <c r="C167" s="244" t="s">
        <v>524</v>
      </c>
      <c r="D167" s="245">
        <v>2182</v>
      </c>
      <c r="E167" s="245">
        <v>1084</v>
      </c>
      <c r="F167" s="245">
        <v>1098</v>
      </c>
      <c r="G167" s="231"/>
      <c r="H167" s="244" t="s">
        <v>524</v>
      </c>
      <c r="I167" s="245">
        <v>1622</v>
      </c>
      <c r="J167" s="245">
        <v>856</v>
      </c>
      <c r="K167" s="245">
        <v>766</v>
      </c>
      <c r="L167" s="231"/>
      <c r="M167" s="244" t="s">
        <v>524</v>
      </c>
      <c r="N167" s="245">
        <v>1914</v>
      </c>
      <c r="O167" s="245">
        <v>979</v>
      </c>
      <c r="P167" s="245">
        <v>935</v>
      </c>
      <c r="Q167" s="231"/>
      <c r="R167" s="244" t="s">
        <v>524</v>
      </c>
      <c r="S167" s="245">
        <v>4258</v>
      </c>
      <c r="T167" s="245">
        <v>2196</v>
      </c>
      <c r="U167" s="245">
        <v>2062</v>
      </c>
    </row>
    <row r="168" spans="3:21" ht="15.75">
      <c r="C168" s="244" t="s">
        <v>525</v>
      </c>
      <c r="D168" s="245">
        <v>2346</v>
      </c>
      <c r="E168" s="245">
        <v>1165</v>
      </c>
      <c r="F168" s="245">
        <v>1181</v>
      </c>
      <c r="G168" s="231"/>
      <c r="H168" s="244" t="s">
        <v>525</v>
      </c>
      <c r="I168" s="245">
        <v>1668</v>
      </c>
      <c r="J168" s="245">
        <v>880</v>
      </c>
      <c r="K168" s="245">
        <v>788</v>
      </c>
      <c r="L168" s="231"/>
      <c r="M168" s="244" t="s">
        <v>525</v>
      </c>
      <c r="N168" s="245">
        <v>1928</v>
      </c>
      <c r="O168" s="245">
        <v>986</v>
      </c>
      <c r="P168" s="245">
        <v>942</v>
      </c>
      <c r="Q168" s="231"/>
      <c r="R168" s="244" t="s">
        <v>525</v>
      </c>
      <c r="S168" s="245">
        <v>4354</v>
      </c>
      <c r="T168" s="245">
        <v>2245</v>
      </c>
      <c r="U168" s="245">
        <v>2109</v>
      </c>
    </row>
    <row r="169" spans="3:21" ht="15">
      <c r="C169" s="247"/>
      <c r="D169" s="248"/>
      <c r="E169" s="248"/>
      <c r="F169" s="248"/>
      <c r="G169" s="247"/>
      <c r="H169" s="247"/>
      <c r="I169" s="248"/>
      <c r="J169" s="248"/>
      <c r="K169" s="248"/>
      <c r="L169" s="247"/>
      <c r="M169" s="247"/>
      <c r="N169" s="248"/>
      <c r="O169" s="248"/>
      <c r="P169" s="248"/>
      <c r="Q169" s="247"/>
      <c r="R169" s="247"/>
      <c r="S169" s="248"/>
      <c r="T169" s="248"/>
      <c r="U169" s="248"/>
    </row>
    <row r="170" spans="3:21" ht="15">
      <c r="C170" s="231"/>
      <c r="D170" s="231"/>
      <c r="E170" s="231"/>
      <c r="F170" s="231"/>
      <c r="G170" s="231"/>
      <c r="H170" s="231"/>
      <c r="I170" s="231"/>
      <c r="J170" s="231"/>
      <c r="K170" s="231"/>
      <c r="L170" s="231"/>
      <c r="M170" s="231"/>
      <c r="N170" s="231"/>
      <c r="O170" s="231"/>
      <c r="P170" s="231"/>
      <c r="Q170" s="231"/>
      <c r="R170" s="231"/>
      <c r="S170" s="231"/>
      <c r="T170" s="231"/>
      <c r="U170" s="231"/>
    </row>
    <row r="171" spans="3:21" ht="17.25">
      <c r="C171" s="230" t="s">
        <v>557</v>
      </c>
      <c r="D171" s="231"/>
      <c r="E171" s="231"/>
      <c r="F171" s="231"/>
      <c r="G171" s="231"/>
      <c r="H171" s="230" t="s">
        <v>558</v>
      </c>
      <c r="I171" s="231"/>
      <c r="J171" s="231"/>
      <c r="K171" s="231"/>
      <c r="L171" s="231"/>
      <c r="M171" s="230" t="s">
        <v>559</v>
      </c>
      <c r="N171" s="231"/>
      <c r="O171" s="231"/>
      <c r="P171" s="231"/>
      <c r="Q171" s="231"/>
      <c r="R171" s="230" t="s">
        <v>560</v>
      </c>
      <c r="S171" s="231"/>
      <c r="T171" s="231"/>
      <c r="U171" s="231"/>
    </row>
    <row r="172" spans="3:21" ht="47.25">
      <c r="C172" s="225" t="s">
        <v>506</v>
      </c>
      <c r="D172" s="232" t="s">
        <v>564</v>
      </c>
      <c r="E172" s="232" t="s">
        <v>565</v>
      </c>
      <c r="F172" s="232" t="s">
        <v>566</v>
      </c>
      <c r="G172" s="227"/>
      <c r="H172" s="225" t="s">
        <v>506</v>
      </c>
      <c r="I172" s="232" t="s">
        <v>564</v>
      </c>
      <c r="J172" s="232" t="s">
        <v>565</v>
      </c>
      <c r="K172" s="232" t="s">
        <v>566</v>
      </c>
      <c r="L172" s="227"/>
      <c r="M172" s="225" t="s">
        <v>506</v>
      </c>
      <c r="N172" s="232" t="s">
        <v>564</v>
      </c>
      <c r="O172" s="232" t="s">
        <v>565</v>
      </c>
      <c r="P172" s="232" t="s">
        <v>566</v>
      </c>
      <c r="Q172" s="227"/>
      <c r="R172" s="225" t="s">
        <v>506</v>
      </c>
      <c r="S172" s="232" t="s">
        <v>564</v>
      </c>
      <c r="T172" s="232" t="s">
        <v>565</v>
      </c>
      <c r="U172" s="232" t="s">
        <v>566</v>
      </c>
    </row>
    <row r="173" spans="3:21" ht="15.75">
      <c r="C173" s="225" t="s">
        <v>535</v>
      </c>
      <c r="D173" s="226">
        <v>5976</v>
      </c>
      <c r="E173" s="226">
        <v>3314</v>
      </c>
      <c r="F173" s="226">
        <v>2662</v>
      </c>
      <c r="G173" s="227"/>
      <c r="H173" s="225" t="s">
        <v>535</v>
      </c>
      <c r="I173" s="226">
        <v>125259</v>
      </c>
      <c r="J173" s="226">
        <v>64667</v>
      </c>
      <c r="K173" s="226">
        <v>60592</v>
      </c>
      <c r="L173" s="227"/>
      <c r="M173" s="225" t="s">
        <v>535</v>
      </c>
      <c r="N173" s="226">
        <v>247439</v>
      </c>
      <c r="O173" s="226">
        <v>126783</v>
      </c>
      <c r="P173" s="226">
        <v>120656</v>
      </c>
      <c r="Q173" s="227"/>
      <c r="R173" s="225" t="s">
        <v>535</v>
      </c>
      <c r="S173" s="226">
        <v>2405</v>
      </c>
      <c r="T173" s="226">
        <v>1305</v>
      </c>
      <c r="U173" s="226">
        <v>1100</v>
      </c>
    </row>
    <row r="174" spans="3:21" ht="15.75">
      <c r="C174" s="244" t="s">
        <v>507</v>
      </c>
      <c r="D174" s="245">
        <v>198</v>
      </c>
      <c r="E174" s="245">
        <v>113</v>
      </c>
      <c r="F174" s="245">
        <v>85</v>
      </c>
      <c r="G174" s="246"/>
      <c r="H174" s="244" t="s">
        <v>507</v>
      </c>
      <c r="I174" s="245">
        <v>6382</v>
      </c>
      <c r="J174" s="245">
        <v>3309</v>
      </c>
      <c r="K174" s="245">
        <v>3073</v>
      </c>
      <c r="L174" s="246"/>
      <c r="M174" s="244" t="s">
        <v>507</v>
      </c>
      <c r="N174" s="245">
        <v>13306</v>
      </c>
      <c r="O174" s="245">
        <v>6840</v>
      </c>
      <c r="P174" s="245">
        <v>6466</v>
      </c>
      <c r="Q174" s="246"/>
      <c r="R174" s="244" t="s">
        <v>507</v>
      </c>
      <c r="S174" s="245">
        <v>124</v>
      </c>
      <c r="T174" s="245">
        <v>64</v>
      </c>
      <c r="U174" s="245">
        <v>60</v>
      </c>
    </row>
    <row r="175" spans="3:21" ht="15.75">
      <c r="C175" s="244" t="s">
        <v>508</v>
      </c>
      <c r="D175" s="245">
        <v>247</v>
      </c>
      <c r="E175" s="245">
        <v>135</v>
      </c>
      <c r="F175" s="245">
        <v>112</v>
      </c>
      <c r="G175" s="246"/>
      <c r="H175" s="244" t="s">
        <v>508</v>
      </c>
      <c r="I175" s="245">
        <v>6352</v>
      </c>
      <c r="J175" s="245">
        <v>3284</v>
      </c>
      <c r="K175" s="245">
        <v>3068</v>
      </c>
      <c r="L175" s="246"/>
      <c r="M175" s="244" t="s">
        <v>508</v>
      </c>
      <c r="N175" s="245">
        <v>13202</v>
      </c>
      <c r="O175" s="245">
        <v>6774</v>
      </c>
      <c r="P175" s="245">
        <v>6428</v>
      </c>
      <c r="Q175" s="246"/>
      <c r="R175" s="244" t="s">
        <v>508</v>
      </c>
      <c r="S175" s="245">
        <v>115</v>
      </c>
      <c r="T175" s="245">
        <v>62</v>
      </c>
      <c r="U175" s="245">
        <v>53</v>
      </c>
    </row>
    <row r="176" spans="3:21" ht="15.75">
      <c r="C176" s="244" t="s">
        <v>509</v>
      </c>
      <c r="D176" s="245">
        <v>257</v>
      </c>
      <c r="E176" s="245">
        <v>143</v>
      </c>
      <c r="F176" s="245">
        <v>114</v>
      </c>
      <c r="G176" s="246"/>
      <c r="H176" s="244" t="s">
        <v>509</v>
      </c>
      <c r="I176" s="245">
        <v>6318</v>
      </c>
      <c r="J176" s="245">
        <v>3270</v>
      </c>
      <c r="K176" s="245">
        <v>3048</v>
      </c>
      <c r="L176" s="246"/>
      <c r="M176" s="244" t="s">
        <v>509</v>
      </c>
      <c r="N176" s="245">
        <v>13097</v>
      </c>
      <c r="O176" s="245">
        <v>6728</v>
      </c>
      <c r="P176" s="245">
        <v>6369</v>
      </c>
      <c r="Q176" s="246"/>
      <c r="R176" s="244" t="s">
        <v>509</v>
      </c>
      <c r="S176" s="245">
        <v>117</v>
      </c>
      <c r="T176" s="245">
        <v>64</v>
      </c>
      <c r="U176" s="245">
        <v>53</v>
      </c>
    </row>
    <row r="177" spans="3:21" ht="15.75">
      <c r="C177" s="244" t="s">
        <v>510</v>
      </c>
      <c r="D177" s="245">
        <v>264</v>
      </c>
      <c r="E177" s="245">
        <v>147</v>
      </c>
      <c r="F177" s="245">
        <v>117</v>
      </c>
      <c r="G177" s="231"/>
      <c r="H177" s="244" t="s">
        <v>510</v>
      </c>
      <c r="I177" s="245">
        <v>6299</v>
      </c>
      <c r="J177" s="245">
        <v>3263</v>
      </c>
      <c r="K177" s="245">
        <v>3036</v>
      </c>
      <c r="L177" s="231"/>
      <c r="M177" s="244" t="s">
        <v>510</v>
      </c>
      <c r="N177" s="245">
        <v>13015</v>
      </c>
      <c r="O177" s="245">
        <v>6691</v>
      </c>
      <c r="P177" s="245">
        <v>6324</v>
      </c>
      <c r="Q177" s="231"/>
      <c r="R177" s="244" t="s">
        <v>510</v>
      </c>
      <c r="S177" s="245">
        <v>115</v>
      </c>
      <c r="T177" s="245">
        <v>63</v>
      </c>
      <c r="U177" s="245">
        <v>52</v>
      </c>
    </row>
    <row r="178" spans="3:21" ht="15.75">
      <c r="C178" s="244" t="s">
        <v>511</v>
      </c>
      <c r="D178" s="245">
        <v>268</v>
      </c>
      <c r="E178" s="245">
        <v>149</v>
      </c>
      <c r="F178" s="245">
        <v>119</v>
      </c>
      <c r="G178" s="231"/>
      <c r="H178" s="244" t="s">
        <v>511</v>
      </c>
      <c r="I178" s="245">
        <v>6296</v>
      </c>
      <c r="J178" s="245">
        <v>3263</v>
      </c>
      <c r="K178" s="245">
        <v>3033</v>
      </c>
      <c r="L178" s="231"/>
      <c r="M178" s="244" t="s">
        <v>511</v>
      </c>
      <c r="N178" s="245">
        <v>12960</v>
      </c>
      <c r="O178" s="245">
        <v>6666</v>
      </c>
      <c r="P178" s="245">
        <v>6294</v>
      </c>
      <c r="Q178" s="231"/>
      <c r="R178" s="244" t="s">
        <v>511</v>
      </c>
      <c r="S178" s="245">
        <v>117</v>
      </c>
      <c r="T178" s="245">
        <v>64</v>
      </c>
      <c r="U178" s="245">
        <v>53</v>
      </c>
    </row>
    <row r="179" spans="3:21" ht="15.75">
      <c r="C179" s="244" t="s">
        <v>512</v>
      </c>
      <c r="D179" s="245">
        <v>275</v>
      </c>
      <c r="E179" s="245">
        <v>153</v>
      </c>
      <c r="F179" s="245">
        <v>122</v>
      </c>
      <c r="G179" s="231"/>
      <c r="H179" s="244" t="s">
        <v>512</v>
      </c>
      <c r="I179" s="245">
        <v>6296</v>
      </c>
      <c r="J179" s="245">
        <v>3264</v>
      </c>
      <c r="K179" s="245">
        <v>3032</v>
      </c>
      <c r="L179" s="231"/>
      <c r="M179" s="244" t="s">
        <v>512</v>
      </c>
      <c r="N179" s="245">
        <v>12898</v>
      </c>
      <c r="O179" s="245">
        <v>6637</v>
      </c>
      <c r="P179" s="245">
        <v>6261</v>
      </c>
      <c r="Q179" s="231"/>
      <c r="R179" s="244" t="s">
        <v>512</v>
      </c>
      <c r="S179" s="245">
        <v>117</v>
      </c>
      <c r="T179" s="245">
        <v>64</v>
      </c>
      <c r="U179" s="245">
        <v>53</v>
      </c>
    </row>
    <row r="180" spans="3:21" ht="15.75">
      <c r="C180" s="244" t="s">
        <v>513</v>
      </c>
      <c r="D180" s="245">
        <v>280</v>
      </c>
      <c r="E180" s="245">
        <v>156</v>
      </c>
      <c r="F180" s="245">
        <v>124</v>
      </c>
      <c r="G180" s="231"/>
      <c r="H180" s="244" t="s">
        <v>513</v>
      </c>
      <c r="I180" s="245">
        <v>6295</v>
      </c>
      <c r="J180" s="245">
        <v>3265</v>
      </c>
      <c r="K180" s="245">
        <v>3030</v>
      </c>
      <c r="L180" s="231"/>
      <c r="M180" s="244" t="s">
        <v>513</v>
      </c>
      <c r="N180" s="245">
        <v>12835</v>
      </c>
      <c r="O180" s="245">
        <v>6607</v>
      </c>
      <c r="P180" s="245">
        <v>6228</v>
      </c>
      <c r="Q180" s="231"/>
      <c r="R180" s="244" t="s">
        <v>513</v>
      </c>
      <c r="S180" s="245">
        <v>117</v>
      </c>
      <c r="T180" s="245">
        <v>64</v>
      </c>
      <c r="U180" s="245">
        <v>53</v>
      </c>
    </row>
    <row r="181" spans="3:21" ht="15.75">
      <c r="C181" s="244" t="s">
        <v>514</v>
      </c>
      <c r="D181" s="245">
        <v>275</v>
      </c>
      <c r="E181" s="245">
        <v>153</v>
      </c>
      <c r="F181" s="245">
        <v>122</v>
      </c>
      <c r="G181" s="231"/>
      <c r="H181" s="244" t="s">
        <v>514</v>
      </c>
      <c r="I181" s="245">
        <v>6339</v>
      </c>
      <c r="J181" s="245">
        <v>3287</v>
      </c>
      <c r="K181" s="245">
        <v>3052</v>
      </c>
      <c r="L181" s="231"/>
      <c r="M181" s="244" t="s">
        <v>514</v>
      </c>
      <c r="N181" s="245">
        <v>12866</v>
      </c>
      <c r="O181" s="245">
        <v>6620</v>
      </c>
      <c r="P181" s="245">
        <v>6246</v>
      </c>
      <c r="Q181" s="231"/>
      <c r="R181" s="244" t="s">
        <v>514</v>
      </c>
      <c r="S181" s="245">
        <v>121</v>
      </c>
      <c r="T181" s="245">
        <v>66</v>
      </c>
      <c r="U181" s="245">
        <v>55</v>
      </c>
    </row>
    <row r="182" spans="3:21" ht="15.75">
      <c r="C182" s="244" t="s">
        <v>515</v>
      </c>
      <c r="D182" s="245">
        <v>274</v>
      </c>
      <c r="E182" s="245">
        <v>153</v>
      </c>
      <c r="F182" s="245">
        <v>121</v>
      </c>
      <c r="G182" s="231"/>
      <c r="H182" s="244" t="s">
        <v>515</v>
      </c>
      <c r="I182" s="245">
        <v>6401</v>
      </c>
      <c r="J182" s="245">
        <v>3316</v>
      </c>
      <c r="K182" s="245">
        <v>3085</v>
      </c>
      <c r="L182" s="231"/>
      <c r="M182" s="244" t="s">
        <v>515</v>
      </c>
      <c r="N182" s="245">
        <v>12917</v>
      </c>
      <c r="O182" s="245">
        <v>6641</v>
      </c>
      <c r="P182" s="245">
        <v>6276</v>
      </c>
      <c r="Q182" s="231"/>
      <c r="R182" s="244" t="s">
        <v>515</v>
      </c>
      <c r="S182" s="245">
        <v>127</v>
      </c>
      <c r="T182" s="245">
        <v>69</v>
      </c>
      <c r="U182" s="245">
        <v>58</v>
      </c>
    </row>
    <row r="183" spans="3:21" ht="15.75">
      <c r="C183" s="244" t="s">
        <v>516</v>
      </c>
      <c r="D183" s="245">
        <v>278</v>
      </c>
      <c r="E183" s="245">
        <v>154</v>
      </c>
      <c r="F183" s="245">
        <v>124</v>
      </c>
      <c r="G183" s="231"/>
      <c r="H183" s="244" t="s">
        <v>516</v>
      </c>
      <c r="I183" s="245">
        <v>6478</v>
      </c>
      <c r="J183" s="245">
        <v>3352</v>
      </c>
      <c r="K183" s="245">
        <v>3126</v>
      </c>
      <c r="L183" s="231"/>
      <c r="M183" s="244" t="s">
        <v>516</v>
      </c>
      <c r="N183" s="245">
        <v>12983</v>
      </c>
      <c r="O183" s="245">
        <v>6666</v>
      </c>
      <c r="P183" s="245">
        <v>6317</v>
      </c>
      <c r="Q183" s="231"/>
      <c r="R183" s="244" t="s">
        <v>516</v>
      </c>
      <c r="S183" s="245">
        <v>132</v>
      </c>
      <c r="T183" s="245">
        <v>72</v>
      </c>
      <c r="U183" s="245">
        <v>60</v>
      </c>
    </row>
    <row r="184" spans="3:21" ht="15.75">
      <c r="C184" s="244" t="s">
        <v>517</v>
      </c>
      <c r="D184" s="245">
        <v>285</v>
      </c>
      <c r="E184" s="245">
        <v>158</v>
      </c>
      <c r="F184" s="245">
        <v>127</v>
      </c>
      <c r="G184" s="231"/>
      <c r="H184" s="244" t="s">
        <v>517</v>
      </c>
      <c r="I184" s="245">
        <v>6565</v>
      </c>
      <c r="J184" s="245">
        <v>3391</v>
      </c>
      <c r="K184" s="245">
        <v>3174</v>
      </c>
      <c r="L184" s="231"/>
      <c r="M184" s="244" t="s">
        <v>517</v>
      </c>
      <c r="N184" s="245">
        <v>13052</v>
      </c>
      <c r="O184" s="245">
        <v>6691</v>
      </c>
      <c r="P184" s="245">
        <v>6361</v>
      </c>
      <c r="Q184" s="231"/>
      <c r="R184" s="244" t="s">
        <v>517</v>
      </c>
      <c r="S184" s="245">
        <v>136</v>
      </c>
      <c r="T184" s="245">
        <v>74</v>
      </c>
      <c r="U184" s="245">
        <v>62</v>
      </c>
    </row>
    <row r="185" spans="3:21" ht="15.75">
      <c r="C185" s="244" t="s">
        <v>518</v>
      </c>
      <c r="D185" s="245">
        <v>289</v>
      </c>
      <c r="E185" s="245">
        <v>160</v>
      </c>
      <c r="F185" s="245">
        <v>129</v>
      </c>
      <c r="G185" s="231"/>
      <c r="H185" s="244" t="s">
        <v>518</v>
      </c>
      <c r="I185" s="245">
        <v>6654</v>
      </c>
      <c r="J185" s="245">
        <v>3431</v>
      </c>
      <c r="K185" s="245">
        <v>3223</v>
      </c>
      <c r="L185" s="231"/>
      <c r="M185" s="244" t="s">
        <v>518</v>
      </c>
      <c r="N185" s="245">
        <v>13125</v>
      </c>
      <c r="O185" s="245">
        <v>6717</v>
      </c>
      <c r="P185" s="245">
        <v>6408</v>
      </c>
      <c r="Q185" s="231"/>
      <c r="R185" s="244" t="s">
        <v>518</v>
      </c>
      <c r="S185" s="245">
        <v>140</v>
      </c>
      <c r="T185" s="245">
        <v>76</v>
      </c>
      <c r="U185" s="245">
        <v>64</v>
      </c>
    </row>
    <row r="186" spans="3:21" ht="15.75">
      <c r="C186" s="244" t="s">
        <v>519</v>
      </c>
      <c r="D186" s="245">
        <v>288</v>
      </c>
      <c r="E186" s="245">
        <v>160</v>
      </c>
      <c r="F186" s="245">
        <v>128</v>
      </c>
      <c r="G186" s="231"/>
      <c r="H186" s="244" t="s">
        <v>519</v>
      </c>
      <c r="I186" s="245">
        <v>6741</v>
      </c>
      <c r="J186" s="245">
        <v>3469</v>
      </c>
      <c r="K186" s="245">
        <v>3272</v>
      </c>
      <c r="L186" s="231"/>
      <c r="M186" s="244" t="s">
        <v>519</v>
      </c>
      <c r="N186" s="245">
        <v>13197</v>
      </c>
      <c r="O186" s="245">
        <v>6740</v>
      </c>
      <c r="P186" s="245">
        <v>6457</v>
      </c>
      <c r="Q186" s="231"/>
      <c r="R186" s="244" t="s">
        <v>519</v>
      </c>
      <c r="S186" s="245">
        <v>145</v>
      </c>
      <c r="T186" s="245">
        <v>79</v>
      </c>
      <c r="U186" s="245">
        <v>66</v>
      </c>
    </row>
    <row r="187" spans="3:21" ht="15.75">
      <c r="C187" s="244" t="s">
        <v>520</v>
      </c>
      <c r="D187" s="245">
        <v>301</v>
      </c>
      <c r="E187" s="245">
        <v>167</v>
      </c>
      <c r="F187" s="245">
        <v>134</v>
      </c>
      <c r="G187" s="231"/>
      <c r="H187" s="244" t="s">
        <v>520</v>
      </c>
      <c r="I187" s="245">
        <v>6822</v>
      </c>
      <c r="J187" s="245">
        <v>3506</v>
      </c>
      <c r="K187" s="245">
        <v>3316</v>
      </c>
      <c r="L187" s="231"/>
      <c r="M187" s="244" t="s">
        <v>520</v>
      </c>
      <c r="N187" s="245">
        <v>13221</v>
      </c>
      <c r="O187" s="245">
        <v>6743</v>
      </c>
      <c r="P187" s="245">
        <v>6478</v>
      </c>
      <c r="Q187" s="231"/>
      <c r="R187" s="244" t="s">
        <v>520</v>
      </c>
      <c r="S187" s="245">
        <v>144</v>
      </c>
      <c r="T187" s="245">
        <v>78</v>
      </c>
      <c r="U187" s="245">
        <v>66</v>
      </c>
    </row>
    <row r="188" spans="3:21" ht="15.75">
      <c r="C188" s="244" t="s">
        <v>521</v>
      </c>
      <c r="D188" s="245">
        <v>337</v>
      </c>
      <c r="E188" s="245">
        <v>186</v>
      </c>
      <c r="F188" s="245">
        <v>151</v>
      </c>
      <c r="G188" s="231"/>
      <c r="H188" s="244" t="s">
        <v>521</v>
      </c>
      <c r="I188" s="245">
        <v>6890</v>
      </c>
      <c r="J188" s="245">
        <v>3541</v>
      </c>
      <c r="K188" s="245">
        <v>3349</v>
      </c>
      <c r="L188" s="231"/>
      <c r="M188" s="244" t="s">
        <v>521</v>
      </c>
      <c r="N188" s="245">
        <v>13168</v>
      </c>
      <c r="O188" s="245">
        <v>6714</v>
      </c>
      <c r="P188" s="245">
        <v>6454</v>
      </c>
      <c r="Q188" s="231"/>
      <c r="R188" s="244" t="s">
        <v>521</v>
      </c>
      <c r="S188" s="245">
        <v>142</v>
      </c>
      <c r="T188" s="245">
        <v>77</v>
      </c>
      <c r="U188" s="245">
        <v>65</v>
      </c>
    </row>
    <row r="189" spans="3:21" ht="15.75">
      <c r="C189" s="244" t="s">
        <v>522</v>
      </c>
      <c r="D189" s="245">
        <v>384</v>
      </c>
      <c r="E189" s="245">
        <v>212</v>
      </c>
      <c r="F189" s="245">
        <v>172</v>
      </c>
      <c r="G189" s="231"/>
      <c r="H189" s="244" t="s">
        <v>522</v>
      </c>
      <c r="I189" s="245">
        <v>6967</v>
      </c>
      <c r="J189" s="245">
        <v>3582</v>
      </c>
      <c r="K189" s="245">
        <v>3385</v>
      </c>
      <c r="L189" s="231"/>
      <c r="M189" s="244" t="s">
        <v>522</v>
      </c>
      <c r="N189" s="245">
        <v>13111</v>
      </c>
      <c r="O189" s="245">
        <v>6688</v>
      </c>
      <c r="P189" s="245">
        <v>6423</v>
      </c>
      <c r="Q189" s="231"/>
      <c r="R189" s="244" t="s">
        <v>522</v>
      </c>
      <c r="S189" s="245">
        <v>138</v>
      </c>
      <c r="T189" s="245">
        <v>75</v>
      </c>
      <c r="U189" s="245">
        <v>63</v>
      </c>
    </row>
    <row r="190" spans="3:21" ht="15.75">
      <c r="C190" s="244" t="s">
        <v>523</v>
      </c>
      <c r="D190" s="245">
        <v>440</v>
      </c>
      <c r="E190" s="245">
        <v>243</v>
      </c>
      <c r="F190" s="245">
        <v>197</v>
      </c>
      <c r="G190" s="231"/>
      <c r="H190" s="244" t="s">
        <v>523</v>
      </c>
      <c r="I190" s="245">
        <v>7021</v>
      </c>
      <c r="J190" s="245">
        <v>3609</v>
      </c>
      <c r="K190" s="245">
        <v>3412</v>
      </c>
      <c r="L190" s="231"/>
      <c r="M190" s="244" t="s">
        <v>523</v>
      </c>
      <c r="N190" s="245">
        <v>12983</v>
      </c>
      <c r="O190" s="245">
        <v>6622</v>
      </c>
      <c r="P190" s="245">
        <v>6361</v>
      </c>
      <c r="Q190" s="231"/>
      <c r="R190" s="244" t="s">
        <v>523</v>
      </c>
      <c r="S190" s="245">
        <v>129</v>
      </c>
      <c r="T190" s="245">
        <v>70</v>
      </c>
      <c r="U190" s="245">
        <v>59</v>
      </c>
    </row>
    <row r="191" spans="3:21" ht="15.75">
      <c r="C191" s="244" t="s">
        <v>524</v>
      </c>
      <c r="D191" s="245">
        <v>500</v>
      </c>
      <c r="E191" s="245">
        <v>276</v>
      </c>
      <c r="F191" s="245">
        <v>224</v>
      </c>
      <c r="G191" s="231"/>
      <c r="H191" s="244" t="s">
        <v>524</v>
      </c>
      <c r="I191" s="245">
        <v>7079</v>
      </c>
      <c r="J191" s="245">
        <v>3637</v>
      </c>
      <c r="K191" s="245">
        <v>3442</v>
      </c>
      <c r="L191" s="231"/>
      <c r="M191" s="244" t="s">
        <v>524</v>
      </c>
      <c r="N191" s="245">
        <v>12863</v>
      </c>
      <c r="O191" s="245">
        <v>6557</v>
      </c>
      <c r="P191" s="245">
        <v>6306</v>
      </c>
      <c r="Q191" s="231"/>
      <c r="R191" s="244" t="s">
        <v>524</v>
      </c>
      <c r="S191" s="245">
        <v>120</v>
      </c>
      <c r="T191" s="245">
        <v>65</v>
      </c>
      <c r="U191" s="245">
        <v>55</v>
      </c>
    </row>
    <row r="192" spans="3:21" ht="15.75">
      <c r="C192" s="244" t="s">
        <v>525</v>
      </c>
      <c r="D192" s="245">
        <v>536</v>
      </c>
      <c r="E192" s="245">
        <v>296</v>
      </c>
      <c r="F192" s="245">
        <v>240</v>
      </c>
      <c r="G192" s="231"/>
      <c r="H192" s="244" t="s">
        <v>525</v>
      </c>
      <c r="I192" s="245">
        <v>7064</v>
      </c>
      <c r="J192" s="245">
        <v>3628</v>
      </c>
      <c r="K192" s="245">
        <v>3436</v>
      </c>
      <c r="L192" s="231"/>
      <c r="M192" s="244" t="s">
        <v>525</v>
      </c>
      <c r="N192" s="245">
        <v>12640</v>
      </c>
      <c r="O192" s="245">
        <v>6441</v>
      </c>
      <c r="P192" s="245">
        <v>6199</v>
      </c>
      <c r="Q192" s="231"/>
      <c r="R192" s="244" t="s">
        <v>525</v>
      </c>
      <c r="S192" s="245">
        <v>109</v>
      </c>
      <c r="T192" s="245">
        <v>59</v>
      </c>
      <c r="U192" s="245">
        <v>50</v>
      </c>
    </row>
  </sheetData>
  <sheetProtection/>
  <mergeCells count="6">
    <mergeCell ref="B43:B46"/>
    <mergeCell ref="F9:L9"/>
    <mergeCell ref="C37:D37"/>
    <mergeCell ref="C38:D38"/>
    <mergeCell ref="C39:D39"/>
    <mergeCell ref="C36:D36"/>
  </mergeCell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2"/>
  </sheetPr>
  <dimension ref="A1:X208"/>
  <sheetViews>
    <sheetView showGridLines="0" view="pageBreakPreview" zoomScale="75" zoomScaleNormal="40" zoomScaleSheetLayoutView="75" zoomScalePageLayoutView="0" workbookViewId="0" topLeftCell="B1">
      <pane xSplit="5" ySplit="5" topLeftCell="L6" activePane="bottomRight" state="frozen"/>
      <selection pane="topLeft" activeCell="B1" sqref="B1"/>
      <selection pane="topRight" activeCell="G1" sqref="G1"/>
      <selection pane="bottomLeft" activeCell="B6" sqref="B6"/>
      <selection pane="bottomRight" activeCell="A1" sqref="A1"/>
    </sheetView>
  </sheetViews>
  <sheetFormatPr defaultColWidth="11.421875" defaultRowHeight="15"/>
  <cols>
    <col min="1" max="1" width="5.57421875" style="23" customWidth="1"/>
    <col min="2" max="2" width="17.28125" style="118" customWidth="1"/>
    <col min="3" max="3" width="19.57421875" style="118" bestFit="1" customWidth="1"/>
    <col min="4" max="4" width="26.57421875" style="118" customWidth="1"/>
    <col min="5" max="5" width="15.140625" style="119" customWidth="1"/>
    <col min="6" max="6" width="21.00390625" style="118" customWidth="1"/>
    <col min="7" max="7" width="18.8515625" style="120" customWidth="1"/>
    <col min="8" max="8" width="18.00390625" style="120" customWidth="1"/>
    <col min="9" max="10" width="36.421875" style="121" customWidth="1"/>
    <col min="11" max="14" width="27.28125" style="121" customWidth="1"/>
    <col min="15" max="15" width="36.28125" style="121" customWidth="1"/>
    <col min="16" max="21" width="16.7109375" style="121" customWidth="1"/>
    <col min="22" max="22" width="33.57421875" style="121" customWidth="1"/>
    <col min="23" max="23" width="17.8515625" style="121" customWidth="1"/>
    <col min="24" max="24" width="19.00390625" style="121" customWidth="1"/>
    <col min="25" max="16384" width="11.421875" style="23" customWidth="1"/>
  </cols>
  <sheetData>
    <row r="1" spans="2:24" ht="21">
      <c r="B1" s="300" t="s">
        <v>175</v>
      </c>
      <c r="C1" s="300"/>
      <c r="D1" s="300"/>
      <c r="E1" s="300"/>
      <c r="F1" s="300"/>
      <c r="G1" s="300"/>
      <c r="H1" s="300"/>
      <c r="I1" s="300"/>
      <c r="J1" s="300"/>
      <c r="K1" s="300"/>
      <c r="L1" s="300"/>
      <c r="M1" s="300"/>
      <c r="N1" s="300"/>
      <c r="O1" s="300"/>
      <c r="P1" s="300"/>
      <c r="Q1" s="300"/>
      <c r="R1" s="300"/>
      <c r="S1" s="300"/>
      <c r="T1" s="300"/>
      <c r="U1" s="300"/>
      <c r="V1" s="300"/>
      <c r="W1" s="238"/>
      <c r="X1" s="238"/>
    </row>
    <row r="2" spans="2:24" ht="35.25" customHeight="1" thickBot="1">
      <c r="B2" s="24" t="s">
        <v>138</v>
      </c>
      <c r="C2" s="23"/>
      <c r="D2" s="23"/>
      <c r="E2" s="23"/>
      <c r="F2" s="23"/>
      <c r="G2" s="23"/>
      <c r="H2" s="25"/>
      <c r="I2" s="26"/>
      <c r="J2" s="26"/>
      <c r="K2" s="26"/>
      <c r="L2" s="26"/>
      <c r="M2" s="26"/>
      <c r="N2" s="26"/>
      <c r="O2" s="26"/>
      <c r="P2" s="26"/>
      <c r="Q2" s="26"/>
      <c r="R2" s="26"/>
      <c r="S2" s="26"/>
      <c r="T2" s="26"/>
      <c r="U2" s="26"/>
      <c r="V2" s="26"/>
      <c r="W2" s="23"/>
      <c r="X2" s="23"/>
    </row>
    <row r="3" spans="2:24" ht="17.25" customHeight="1">
      <c r="B3" s="303" t="s">
        <v>68</v>
      </c>
      <c r="C3" s="304"/>
      <c r="D3" s="304"/>
      <c r="E3" s="304"/>
      <c r="F3" s="304"/>
      <c r="G3" s="261" t="s">
        <v>69</v>
      </c>
      <c r="H3" s="305" t="s">
        <v>49</v>
      </c>
      <c r="I3" s="306"/>
      <c r="J3" s="295" t="s">
        <v>52</v>
      </c>
      <c r="K3" s="297"/>
      <c r="L3" s="317" t="s">
        <v>105</v>
      </c>
      <c r="M3" s="318"/>
      <c r="N3" s="318"/>
      <c r="O3" s="295" t="s">
        <v>201</v>
      </c>
      <c r="P3" s="296"/>
      <c r="Q3" s="296"/>
      <c r="R3" s="296"/>
      <c r="S3" s="296"/>
      <c r="T3" s="296"/>
      <c r="U3" s="296"/>
      <c r="V3" s="297"/>
      <c r="W3" s="294" t="s">
        <v>171</v>
      </c>
      <c r="X3" s="294"/>
    </row>
    <row r="4" spans="2:24" s="28" customFormat="1" ht="36" customHeight="1">
      <c r="B4" s="293" t="s">
        <v>176</v>
      </c>
      <c r="C4" s="293" t="s">
        <v>177</v>
      </c>
      <c r="D4" s="293" t="s">
        <v>178</v>
      </c>
      <c r="E4" s="293" t="s">
        <v>179</v>
      </c>
      <c r="F4" s="293" t="s">
        <v>180</v>
      </c>
      <c r="G4" s="293" t="s">
        <v>187</v>
      </c>
      <c r="H4" s="293" t="s">
        <v>200</v>
      </c>
      <c r="I4" s="293" t="s">
        <v>347</v>
      </c>
      <c r="J4" s="288" t="s">
        <v>50</v>
      </c>
      <c r="K4" s="288" t="s">
        <v>51</v>
      </c>
      <c r="L4" s="292" t="s">
        <v>571</v>
      </c>
      <c r="M4" s="292" t="s">
        <v>572</v>
      </c>
      <c r="N4" s="292" t="s">
        <v>369</v>
      </c>
      <c r="O4" s="288" t="s">
        <v>202</v>
      </c>
      <c r="P4" s="289" t="s">
        <v>371</v>
      </c>
      <c r="Q4" s="290"/>
      <c r="R4" s="290"/>
      <c r="S4" s="290"/>
      <c r="T4" s="290"/>
      <c r="U4" s="291"/>
      <c r="V4" s="288" t="s">
        <v>203</v>
      </c>
      <c r="W4" s="288" t="s">
        <v>169</v>
      </c>
      <c r="X4" s="288" t="s">
        <v>170</v>
      </c>
    </row>
    <row r="5" spans="2:24" s="28" customFormat="1" ht="46.5" customHeight="1">
      <c r="B5" s="293"/>
      <c r="C5" s="293"/>
      <c r="D5" s="293"/>
      <c r="E5" s="293"/>
      <c r="F5" s="293"/>
      <c r="G5" s="293"/>
      <c r="H5" s="293"/>
      <c r="I5" s="293"/>
      <c r="J5" s="288"/>
      <c r="K5" s="288"/>
      <c r="L5" s="292"/>
      <c r="M5" s="292"/>
      <c r="N5" s="292"/>
      <c r="O5" s="288"/>
      <c r="P5" s="264" t="s">
        <v>365</v>
      </c>
      <c r="Q5" s="264" t="s">
        <v>366</v>
      </c>
      <c r="R5" s="264" t="s">
        <v>367</v>
      </c>
      <c r="S5" s="264" t="s">
        <v>368</v>
      </c>
      <c r="T5" s="264" t="s">
        <v>106</v>
      </c>
      <c r="U5" s="264" t="s">
        <v>370</v>
      </c>
      <c r="V5" s="288"/>
      <c r="W5" s="288"/>
      <c r="X5" s="288"/>
    </row>
    <row r="6" spans="2:24" s="31" customFormat="1" ht="16.5">
      <c r="B6" s="262"/>
      <c r="C6" s="262"/>
      <c r="D6" s="262"/>
      <c r="E6" s="263"/>
      <c r="F6" s="262"/>
      <c r="G6" s="262"/>
      <c r="H6" s="262"/>
      <c r="I6" s="262"/>
      <c r="J6" s="30"/>
      <c r="K6" s="30"/>
      <c r="L6" s="30"/>
      <c r="M6" s="30"/>
      <c r="N6" s="30"/>
      <c r="O6" s="30"/>
      <c r="P6" s="30"/>
      <c r="Q6" s="30"/>
      <c r="R6" s="30"/>
      <c r="S6" s="30"/>
      <c r="T6" s="30"/>
      <c r="U6" s="30"/>
      <c r="V6" s="30"/>
      <c r="W6" s="30"/>
      <c r="X6" s="30"/>
    </row>
    <row r="7" spans="2:24" ht="24.75" customHeight="1">
      <c r="B7" s="32" t="s">
        <v>181</v>
      </c>
      <c r="C7" s="33"/>
      <c r="D7" s="33"/>
      <c r="E7" s="33"/>
      <c r="F7" s="33"/>
      <c r="G7" s="33"/>
      <c r="H7" s="33"/>
      <c r="I7" s="33"/>
      <c r="J7" s="33"/>
      <c r="K7" s="33"/>
      <c r="L7" s="33"/>
      <c r="M7" s="33"/>
      <c r="N7" s="33"/>
      <c r="O7" s="33"/>
      <c r="P7" s="33"/>
      <c r="Q7" s="33"/>
      <c r="R7" s="33"/>
      <c r="S7" s="33"/>
      <c r="T7" s="33"/>
      <c r="U7" s="33"/>
      <c r="V7" s="33"/>
      <c r="W7" s="249"/>
      <c r="X7" s="249"/>
    </row>
    <row r="8" spans="2:24" ht="16.5" customHeight="1">
      <c r="B8" s="34" t="s">
        <v>182</v>
      </c>
      <c r="C8" s="35"/>
      <c r="D8" s="35"/>
      <c r="E8" s="35"/>
      <c r="F8" s="35"/>
      <c r="G8" s="35"/>
      <c r="H8" s="36"/>
      <c r="I8" s="36"/>
      <c r="J8" s="36"/>
      <c r="K8" s="36"/>
      <c r="L8" s="36"/>
      <c r="M8" s="36"/>
      <c r="N8" s="36"/>
      <c r="O8" s="36"/>
      <c r="P8" s="36"/>
      <c r="Q8" s="36"/>
      <c r="R8" s="36"/>
      <c r="S8" s="36"/>
      <c r="T8" s="36"/>
      <c r="U8" s="36"/>
      <c r="V8" s="36"/>
      <c r="W8" s="36"/>
      <c r="X8" s="36"/>
    </row>
    <row r="9" spans="2:24" s="42" customFormat="1" ht="109.5" customHeight="1">
      <c r="B9" s="301" t="s">
        <v>183</v>
      </c>
      <c r="C9" s="301" t="s">
        <v>184</v>
      </c>
      <c r="D9" s="39" t="s">
        <v>185</v>
      </c>
      <c r="E9" s="302">
        <v>773873.88</v>
      </c>
      <c r="F9" s="39" t="s">
        <v>205</v>
      </c>
      <c r="G9" s="40">
        <v>99053.14273174427</v>
      </c>
      <c r="H9" s="40">
        <f>111191447864/1000000</f>
        <v>111191.447864</v>
      </c>
      <c r="I9" s="41" t="s">
        <v>340</v>
      </c>
      <c r="J9" s="41">
        <v>450000</v>
      </c>
      <c r="K9" s="41">
        <f>132525000000/1000000</f>
        <v>132525</v>
      </c>
      <c r="L9" s="4"/>
      <c r="M9" s="4"/>
      <c r="N9" s="4"/>
      <c r="O9" s="4"/>
      <c r="P9" s="4"/>
      <c r="Q9" s="4"/>
      <c r="R9" s="4"/>
      <c r="S9" s="4"/>
      <c r="T9" s="4"/>
      <c r="U9" s="4">
        <f>+P9+Q9+R9+S9+T9</f>
        <v>0</v>
      </c>
      <c r="V9" s="4"/>
      <c r="W9" s="250"/>
      <c r="X9" s="250"/>
    </row>
    <row r="10" spans="2:24" s="42" customFormat="1" ht="108" customHeight="1">
      <c r="B10" s="301"/>
      <c r="C10" s="301"/>
      <c r="D10" s="39" t="s">
        <v>206</v>
      </c>
      <c r="E10" s="302"/>
      <c r="F10" s="39" t="s">
        <v>205</v>
      </c>
      <c r="G10" s="40">
        <v>18283.827778</v>
      </c>
      <c r="H10" s="40">
        <f>26299373027.3134/1000000</f>
        <v>26299.3730273134</v>
      </c>
      <c r="I10" s="41" t="s">
        <v>341</v>
      </c>
      <c r="J10" s="41">
        <v>120000</v>
      </c>
      <c r="K10" s="41">
        <f>41199600000/1000000</f>
        <v>41199.6</v>
      </c>
      <c r="L10" s="4"/>
      <c r="M10" s="4"/>
      <c r="N10" s="4"/>
      <c r="O10" s="4"/>
      <c r="P10" s="4"/>
      <c r="Q10" s="4"/>
      <c r="R10" s="4"/>
      <c r="S10" s="4"/>
      <c r="T10" s="4"/>
      <c r="U10" s="4">
        <f aca="true" t="shared" si="0" ref="U10:U21">+P10+Q10+R10+S10+T10</f>
        <v>0</v>
      </c>
      <c r="V10" s="4"/>
      <c r="W10" s="250"/>
      <c r="X10" s="250"/>
    </row>
    <row r="11" spans="2:24" s="42" customFormat="1" ht="107.25" customHeight="1">
      <c r="B11" s="301" t="s">
        <v>207</v>
      </c>
      <c r="C11" s="301" t="s">
        <v>208</v>
      </c>
      <c r="D11" s="301" t="s">
        <v>209</v>
      </c>
      <c r="E11" s="302">
        <v>306073.95371936104</v>
      </c>
      <c r="F11" s="39" t="s">
        <v>210</v>
      </c>
      <c r="G11" s="40">
        <v>31309.819333</v>
      </c>
      <c r="H11" s="40">
        <f>32215447752/1000000</f>
        <v>32215.447752</v>
      </c>
      <c r="I11" s="41" t="s">
        <v>382</v>
      </c>
      <c r="J11" s="41">
        <v>984206</v>
      </c>
      <c r="K11" s="41">
        <f>50440557500/1000000</f>
        <v>50440.5575</v>
      </c>
      <c r="L11" s="4"/>
      <c r="M11" s="4"/>
      <c r="N11" s="4"/>
      <c r="O11" s="4"/>
      <c r="P11" s="4"/>
      <c r="Q11" s="4"/>
      <c r="R11" s="4"/>
      <c r="S11" s="4"/>
      <c r="T11" s="4"/>
      <c r="U11" s="4">
        <f t="shared" si="0"/>
        <v>0</v>
      </c>
      <c r="V11" s="4"/>
      <c r="W11" s="250"/>
      <c r="X11" s="250"/>
    </row>
    <row r="12" spans="2:24" s="42" customFormat="1" ht="99">
      <c r="B12" s="301"/>
      <c r="C12" s="301"/>
      <c r="D12" s="301"/>
      <c r="E12" s="302"/>
      <c r="F12" s="39" t="s">
        <v>211</v>
      </c>
      <c r="G12" s="40">
        <v>3756.24</v>
      </c>
      <c r="H12" s="40">
        <f>3783284928/1000000</f>
        <v>3783.284928</v>
      </c>
      <c r="I12" s="41" t="s">
        <v>244</v>
      </c>
      <c r="J12" s="41">
        <v>72315</v>
      </c>
      <c r="K12" s="41">
        <f>4338900000/1000000</f>
        <v>4338.9</v>
      </c>
      <c r="L12" s="4"/>
      <c r="M12" s="4"/>
      <c r="N12" s="4"/>
      <c r="O12" s="4"/>
      <c r="P12" s="4"/>
      <c r="Q12" s="4"/>
      <c r="R12" s="4"/>
      <c r="S12" s="4"/>
      <c r="T12" s="4"/>
      <c r="U12" s="4">
        <f t="shared" si="0"/>
        <v>0</v>
      </c>
      <c r="V12" s="4"/>
      <c r="W12" s="250"/>
      <c r="X12" s="250"/>
    </row>
    <row r="13" spans="2:24" s="42" customFormat="1" ht="113.25" customHeight="1">
      <c r="B13" s="301" t="s">
        <v>207</v>
      </c>
      <c r="C13" s="301" t="s">
        <v>212</v>
      </c>
      <c r="D13" s="38" t="s">
        <v>213</v>
      </c>
      <c r="E13" s="302">
        <v>230619.6192</v>
      </c>
      <c r="F13" s="39" t="s">
        <v>214</v>
      </c>
      <c r="G13" s="40">
        <v>36365</v>
      </c>
      <c r="H13" s="40">
        <f>33960496136/1000000</f>
        <v>33960.496136</v>
      </c>
      <c r="I13" s="41" t="s">
        <v>383</v>
      </c>
      <c r="J13" s="41">
        <v>37325</v>
      </c>
      <c r="K13" s="41">
        <f>41132150000/1000000</f>
        <v>41132.15</v>
      </c>
      <c r="L13" s="4"/>
      <c r="M13" s="4"/>
      <c r="N13" s="4"/>
      <c r="O13" s="4"/>
      <c r="P13" s="4"/>
      <c r="Q13" s="4"/>
      <c r="R13" s="4"/>
      <c r="S13" s="4"/>
      <c r="T13" s="4"/>
      <c r="U13" s="4">
        <f t="shared" si="0"/>
        <v>0</v>
      </c>
      <c r="V13" s="4"/>
      <c r="W13" s="250"/>
      <c r="X13" s="250"/>
    </row>
    <row r="14" spans="2:24" s="42" customFormat="1" ht="99">
      <c r="B14" s="301"/>
      <c r="C14" s="301"/>
      <c r="D14" s="38" t="s">
        <v>215</v>
      </c>
      <c r="E14" s="302"/>
      <c r="F14" s="39" t="s">
        <v>214</v>
      </c>
      <c r="G14" s="40">
        <v>4476.08</v>
      </c>
      <c r="H14" s="40">
        <f>7760516367/1000000</f>
        <v>7760.516367</v>
      </c>
      <c r="I14" s="41" t="s">
        <v>245</v>
      </c>
      <c r="J14" s="41">
        <v>5769</v>
      </c>
      <c r="K14" s="41">
        <f>2059648380/1000000</f>
        <v>2059.64838</v>
      </c>
      <c r="L14" s="4"/>
      <c r="M14" s="4"/>
      <c r="N14" s="4"/>
      <c r="O14" s="4"/>
      <c r="P14" s="4"/>
      <c r="Q14" s="4"/>
      <c r="R14" s="4"/>
      <c r="S14" s="4"/>
      <c r="T14" s="4"/>
      <c r="U14" s="4">
        <f t="shared" si="0"/>
        <v>0</v>
      </c>
      <c r="V14" s="4"/>
      <c r="W14" s="250"/>
      <c r="X14" s="250"/>
    </row>
    <row r="15" spans="2:24" s="42" customFormat="1" ht="99">
      <c r="B15" s="301"/>
      <c r="C15" s="301"/>
      <c r="D15" s="38" t="s">
        <v>216</v>
      </c>
      <c r="E15" s="302"/>
      <c r="F15" s="39" t="s">
        <v>214</v>
      </c>
      <c r="G15" s="40">
        <v>3519.3</v>
      </c>
      <c r="H15" s="40">
        <f>3900966879/1000000</f>
        <v>3900.966879</v>
      </c>
      <c r="I15" s="41" t="s">
        <v>384</v>
      </c>
      <c r="J15" s="41">
        <v>10925</v>
      </c>
      <c r="K15" s="41">
        <f>7457678125/1000000</f>
        <v>7457.678125</v>
      </c>
      <c r="L15" s="4"/>
      <c r="M15" s="4"/>
      <c r="N15" s="4"/>
      <c r="O15" s="4"/>
      <c r="P15" s="4"/>
      <c r="Q15" s="4"/>
      <c r="R15" s="4"/>
      <c r="S15" s="4"/>
      <c r="T15" s="4"/>
      <c r="U15" s="4">
        <f t="shared" si="0"/>
        <v>0</v>
      </c>
      <c r="V15" s="4"/>
      <c r="W15" s="250"/>
      <c r="X15" s="250"/>
    </row>
    <row r="16" spans="2:24" s="42" customFormat="1" ht="113.25" customHeight="1">
      <c r="B16" s="311" t="s">
        <v>207</v>
      </c>
      <c r="C16" s="301" t="s">
        <v>217</v>
      </c>
      <c r="D16" s="311" t="s">
        <v>218</v>
      </c>
      <c r="E16" s="302">
        <v>986440.346814596</v>
      </c>
      <c r="F16" s="39" t="s">
        <v>219</v>
      </c>
      <c r="G16" s="40">
        <v>137199.94806</v>
      </c>
      <c r="H16" s="40">
        <f>130406473473/1000000</f>
        <v>130406.473473</v>
      </c>
      <c r="I16" s="41" t="s">
        <v>220</v>
      </c>
      <c r="J16" s="41">
        <v>135741</v>
      </c>
      <c r="K16" s="41">
        <f>129719800722/1000000</f>
        <v>129719.800722</v>
      </c>
      <c r="L16" s="4"/>
      <c r="M16" s="4"/>
      <c r="N16" s="4"/>
      <c r="O16" s="4"/>
      <c r="P16" s="4"/>
      <c r="Q16" s="4"/>
      <c r="R16" s="4"/>
      <c r="S16" s="4"/>
      <c r="T16" s="4"/>
      <c r="U16" s="4">
        <f t="shared" si="0"/>
        <v>0</v>
      </c>
      <c r="V16" s="4"/>
      <c r="W16" s="250"/>
      <c r="X16" s="250"/>
    </row>
    <row r="17" spans="2:24" s="42" customFormat="1" ht="99">
      <c r="B17" s="311"/>
      <c r="C17" s="301"/>
      <c r="D17" s="311"/>
      <c r="E17" s="302"/>
      <c r="F17" s="39" t="s">
        <v>221</v>
      </c>
      <c r="G17" s="40">
        <v>57009.259405</v>
      </c>
      <c r="H17" s="40">
        <f>67320291410/1000000</f>
        <v>67320.29141</v>
      </c>
      <c r="I17" s="41" t="s">
        <v>222</v>
      </c>
      <c r="J17" s="41">
        <v>39307</v>
      </c>
      <c r="K17" s="41">
        <f>60867046728/1000000</f>
        <v>60867.046728</v>
      </c>
      <c r="L17" s="4"/>
      <c r="M17" s="4"/>
      <c r="N17" s="4"/>
      <c r="O17" s="4"/>
      <c r="P17" s="4"/>
      <c r="Q17" s="4"/>
      <c r="R17" s="4"/>
      <c r="S17" s="4"/>
      <c r="T17" s="4"/>
      <c r="U17" s="4">
        <f t="shared" si="0"/>
        <v>0</v>
      </c>
      <c r="V17" s="4"/>
      <c r="W17" s="250"/>
      <c r="X17" s="250"/>
    </row>
    <row r="18" spans="2:24" s="42" customFormat="1" ht="115.5">
      <c r="B18" s="39" t="s">
        <v>223</v>
      </c>
      <c r="C18" s="39" t="s">
        <v>224</v>
      </c>
      <c r="D18" s="39" t="s">
        <v>225</v>
      </c>
      <c r="E18" s="40">
        <v>107985.986487</v>
      </c>
      <c r="F18" s="39" t="s">
        <v>420</v>
      </c>
      <c r="G18" s="40">
        <v>9585.988677</v>
      </c>
      <c r="H18" s="40">
        <f>9644503818/1000000</f>
        <v>9644.503818</v>
      </c>
      <c r="I18" s="41" t="s">
        <v>421</v>
      </c>
      <c r="J18" s="41">
        <v>984206</v>
      </c>
      <c r="K18" s="41">
        <f>11382374432.0607/1000000</f>
        <v>11382.3744320607</v>
      </c>
      <c r="L18" s="4"/>
      <c r="M18" s="4"/>
      <c r="N18" s="4"/>
      <c r="O18" s="4"/>
      <c r="P18" s="4"/>
      <c r="Q18" s="4"/>
      <c r="R18" s="4"/>
      <c r="S18" s="4"/>
      <c r="T18" s="4"/>
      <c r="U18" s="4">
        <f t="shared" si="0"/>
        <v>0</v>
      </c>
      <c r="V18" s="4"/>
      <c r="W18" s="250"/>
      <c r="X18" s="250"/>
    </row>
    <row r="19" spans="2:24" s="42" customFormat="1" ht="115.5">
      <c r="B19" s="39" t="s">
        <v>422</v>
      </c>
      <c r="C19" s="41" t="s">
        <v>423</v>
      </c>
      <c r="D19" s="41" t="s">
        <v>424</v>
      </c>
      <c r="E19" s="40">
        <v>7325.68</v>
      </c>
      <c r="F19" s="39" t="s">
        <v>425</v>
      </c>
      <c r="G19" s="40">
        <v>637.281</v>
      </c>
      <c r="H19" s="40">
        <f>639056184/1000000</f>
        <v>639.056184</v>
      </c>
      <c r="I19" s="41" t="s">
        <v>426</v>
      </c>
      <c r="J19" s="41">
        <v>17500</v>
      </c>
      <c r="K19" s="41">
        <f>1634522798.0742/1000000</f>
        <v>1634.5227980742</v>
      </c>
      <c r="L19" s="4"/>
      <c r="M19" s="4"/>
      <c r="N19" s="4"/>
      <c r="O19" s="4"/>
      <c r="P19" s="4"/>
      <c r="Q19" s="4"/>
      <c r="R19" s="4"/>
      <c r="S19" s="4"/>
      <c r="T19" s="4"/>
      <c r="U19" s="4">
        <f t="shared" si="0"/>
        <v>0</v>
      </c>
      <c r="V19" s="4"/>
      <c r="W19" s="250"/>
      <c r="X19" s="250"/>
    </row>
    <row r="20" spans="2:24" s="42" customFormat="1" ht="173.25" customHeight="1">
      <c r="B20" s="39" t="s">
        <v>427</v>
      </c>
      <c r="C20" s="39" t="s">
        <v>428</v>
      </c>
      <c r="D20" s="39" t="s">
        <v>429</v>
      </c>
      <c r="E20" s="40">
        <v>7000</v>
      </c>
      <c r="F20" s="39" t="s">
        <v>294</v>
      </c>
      <c r="G20" s="40">
        <v>2278.517568</v>
      </c>
      <c r="H20" s="40">
        <f>2255225566/1000000</f>
        <v>2255.225566</v>
      </c>
      <c r="I20" s="41" t="s">
        <v>421</v>
      </c>
      <c r="J20" s="41">
        <v>984206</v>
      </c>
      <c r="K20" s="41">
        <f>2896967160.60372/1000000</f>
        <v>2896.96716060372</v>
      </c>
      <c r="L20" s="4"/>
      <c r="M20" s="4"/>
      <c r="N20" s="4"/>
      <c r="O20" s="4"/>
      <c r="P20" s="4"/>
      <c r="Q20" s="4"/>
      <c r="R20" s="4"/>
      <c r="S20" s="4"/>
      <c r="T20" s="4"/>
      <c r="U20" s="4">
        <f t="shared" si="0"/>
        <v>0</v>
      </c>
      <c r="V20" s="4"/>
      <c r="W20" s="250"/>
      <c r="X20" s="250"/>
    </row>
    <row r="21" spans="2:24" s="42" customFormat="1" ht="213" customHeight="1">
      <c r="B21" s="41" t="s">
        <v>295</v>
      </c>
      <c r="C21" s="41"/>
      <c r="D21" s="41" t="s">
        <v>296</v>
      </c>
      <c r="E21" s="40">
        <f>8680993-SUM(E9:E20)</f>
        <v>6261673.533779043</v>
      </c>
      <c r="F21" s="41" t="s">
        <v>296</v>
      </c>
      <c r="G21" s="40">
        <v>1182010.451026</v>
      </c>
      <c r="H21" s="40">
        <f>1184175386816/1000000</f>
        <v>1184175.386816</v>
      </c>
      <c r="I21" s="41" t="s">
        <v>421</v>
      </c>
      <c r="J21" s="41">
        <v>984206</v>
      </c>
      <c r="K21" s="41">
        <f>1287309576329.45/1000000</f>
        <v>1287309.57632945</v>
      </c>
      <c r="L21" s="4"/>
      <c r="M21" s="4"/>
      <c r="N21" s="4"/>
      <c r="O21" s="4"/>
      <c r="P21" s="4"/>
      <c r="Q21" s="4"/>
      <c r="R21" s="4"/>
      <c r="S21" s="4"/>
      <c r="T21" s="4"/>
      <c r="U21" s="4">
        <f t="shared" si="0"/>
        <v>0</v>
      </c>
      <c r="V21" s="4"/>
      <c r="W21" s="250"/>
      <c r="X21" s="250"/>
    </row>
    <row r="22" spans="2:24" s="47" customFormat="1" ht="22.5" customHeight="1">
      <c r="B22" s="307" t="s">
        <v>297</v>
      </c>
      <c r="C22" s="308"/>
      <c r="D22" s="309"/>
      <c r="E22" s="27">
        <f>SUM(E9:E21)</f>
        <v>8680993</v>
      </c>
      <c r="F22" s="44"/>
      <c r="G22" s="27">
        <f>SUM(G9:G21)</f>
        <v>1585484.8555787443</v>
      </c>
      <c r="H22" s="45">
        <f>SUM(H9:H21)</f>
        <v>1613552.4702203134</v>
      </c>
      <c r="I22" s="46"/>
      <c r="J22" s="46"/>
      <c r="K22" s="45">
        <f>SUM(K9:K21)</f>
        <v>1772963.8221751885</v>
      </c>
      <c r="L22" s="45"/>
      <c r="M22" s="27">
        <f>SUM(M9:M21)</f>
        <v>0</v>
      </c>
      <c r="N22" s="45"/>
      <c r="O22" s="45"/>
      <c r="P22" s="45"/>
      <c r="Q22" s="45"/>
      <c r="R22" s="45"/>
      <c r="S22" s="45"/>
      <c r="T22" s="45"/>
      <c r="U22" s="45">
        <f>SUM(U9:U21)</f>
        <v>0</v>
      </c>
      <c r="V22" s="46"/>
      <c r="W22" s="251"/>
      <c r="X22" s="251"/>
    </row>
    <row r="23" spans="2:24" ht="24.75" customHeight="1">
      <c r="B23" s="32" t="s">
        <v>298</v>
      </c>
      <c r="C23" s="33"/>
      <c r="D23" s="33"/>
      <c r="E23" s="33"/>
      <c r="F23" s="33"/>
      <c r="G23" s="33"/>
      <c r="H23" s="33"/>
      <c r="I23" s="33"/>
      <c r="J23" s="33"/>
      <c r="K23" s="33"/>
      <c r="L23" s="33"/>
      <c r="M23" s="33"/>
      <c r="N23" s="33"/>
      <c r="O23" s="33"/>
      <c r="P23" s="33"/>
      <c r="Q23" s="33"/>
      <c r="R23" s="33"/>
      <c r="S23" s="33"/>
      <c r="T23" s="33"/>
      <c r="U23" s="33"/>
      <c r="V23" s="33"/>
      <c r="W23" s="33"/>
      <c r="X23" s="33"/>
    </row>
    <row r="24" spans="2:24" s="47" customFormat="1" ht="17.25" customHeight="1">
      <c r="B24" s="34" t="s">
        <v>111</v>
      </c>
      <c r="C24" s="35"/>
      <c r="D24" s="35"/>
      <c r="E24" s="35"/>
      <c r="F24" s="35"/>
      <c r="G24" s="35"/>
      <c r="H24" s="35"/>
      <c r="I24" s="35"/>
      <c r="J24" s="35"/>
      <c r="K24" s="35"/>
      <c r="L24" s="35"/>
      <c r="M24" s="35"/>
      <c r="N24" s="35"/>
      <c r="O24" s="35"/>
      <c r="P24" s="35"/>
      <c r="Q24" s="35"/>
      <c r="R24" s="35"/>
      <c r="S24" s="35"/>
      <c r="T24" s="35"/>
      <c r="U24" s="35"/>
      <c r="V24" s="35"/>
      <c r="W24" s="252"/>
      <c r="X24" s="252"/>
    </row>
    <row r="25" spans="2:24" s="49" customFormat="1" ht="146.25" customHeight="1">
      <c r="B25" s="48" t="s">
        <v>422</v>
      </c>
      <c r="C25" s="48" t="s">
        <v>112</v>
      </c>
      <c r="D25" s="41" t="s">
        <v>113</v>
      </c>
      <c r="E25" s="40">
        <v>2592</v>
      </c>
      <c r="F25" s="41" t="s">
        <v>114</v>
      </c>
      <c r="G25" s="40">
        <f>381001847/1000000</f>
        <v>381.001847</v>
      </c>
      <c r="H25" s="40">
        <v>379</v>
      </c>
      <c r="I25" s="43" t="s">
        <v>163</v>
      </c>
      <c r="J25" s="43" t="s">
        <v>53</v>
      </c>
      <c r="K25" s="40">
        <f>72000000/1000000</f>
        <v>72</v>
      </c>
      <c r="L25" s="7"/>
      <c r="M25" s="7"/>
      <c r="N25" s="7"/>
      <c r="O25" s="7"/>
      <c r="P25" s="7"/>
      <c r="Q25" s="7"/>
      <c r="R25" s="7"/>
      <c r="S25" s="7"/>
      <c r="T25" s="7"/>
      <c r="U25" s="4">
        <f>+P25+Q25+R25+S25+T25</f>
        <v>0</v>
      </c>
      <c r="V25" s="6"/>
      <c r="W25" s="250"/>
      <c r="X25" s="250"/>
    </row>
    <row r="26" spans="2:24" s="49" customFormat="1" ht="214.5">
      <c r="B26" s="48" t="s">
        <v>422</v>
      </c>
      <c r="C26" s="48" t="s">
        <v>112</v>
      </c>
      <c r="D26" s="41" t="s">
        <v>6</v>
      </c>
      <c r="E26" s="40">
        <v>45298.85298962568</v>
      </c>
      <c r="F26" s="41" t="s">
        <v>114</v>
      </c>
      <c r="G26" s="40">
        <f>5825565859/1000000</f>
        <v>5825.565859</v>
      </c>
      <c r="H26" s="40">
        <v>5621</v>
      </c>
      <c r="I26" s="48" t="s">
        <v>164</v>
      </c>
      <c r="J26" s="43" t="s">
        <v>54</v>
      </c>
      <c r="K26" s="40">
        <f>4121904877/1000000</f>
        <v>4121.904877</v>
      </c>
      <c r="L26" s="7"/>
      <c r="M26" s="7"/>
      <c r="N26" s="7"/>
      <c r="O26" s="7"/>
      <c r="P26" s="7"/>
      <c r="Q26" s="7"/>
      <c r="R26" s="7"/>
      <c r="S26" s="7"/>
      <c r="T26" s="7"/>
      <c r="U26" s="4">
        <f aca="true" t="shared" si="1" ref="U26:U55">+P26+Q26+R26+S26+T26</f>
        <v>0</v>
      </c>
      <c r="V26" s="14"/>
      <c r="W26" s="250"/>
      <c r="X26" s="250"/>
    </row>
    <row r="27" spans="2:24" s="49" customFormat="1" ht="181.5">
      <c r="B27" s="48" t="s">
        <v>422</v>
      </c>
      <c r="C27" s="48" t="s">
        <v>112</v>
      </c>
      <c r="D27" s="41" t="s">
        <v>196</v>
      </c>
      <c r="E27" s="40">
        <v>8673.371783657456</v>
      </c>
      <c r="F27" s="41" t="s">
        <v>114</v>
      </c>
      <c r="G27" s="40">
        <f>812832870/1000000</f>
        <v>812.83287</v>
      </c>
      <c r="H27" s="50">
        <v>1326</v>
      </c>
      <c r="I27" s="51" t="s">
        <v>165</v>
      </c>
      <c r="J27" s="51" t="s">
        <v>197</v>
      </c>
      <c r="K27" s="50">
        <f>731307096/1000000</f>
        <v>731.307096</v>
      </c>
      <c r="L27" s="13"/>
      <c r="M27" s="13"/>
      <c r="N27" s="13"/>
      <c r="O27" s="13"/>
      <c r="P27" s="13"/>
      <c r="Q27" s="13"/>
      <c r="R27" s="13"/>
      <c r="S27" s="13"/>
      <c r="T27" s="13"/>
      <c r="U27" s="4">
        <f t="shared" si="1"/>
        <v>0</v>
      </c>
      <c r="V27" s="14"/>
      <c r="W27" s="250"/>
      <c r="X27" s="250"/>
    </row>
    <row r="28" spans="2:24" s="58" customFormat="1" ht="99">
      <c r="B28" s="52" t="s">
        <v>422</v>
      </c>
      <c r="C28" s="52" t="s">
        <v>88</v>
      </c>
      <c r="D28" s="53" t="s">
        <v>89</v>
      </c>
      <c r="E28" s="54">
        <v>131.218871</v>
      </c>
      <c r="F28" s="55" t="s">
        <v>88</v>
      </c>
      <c r="G28" s="40">
        <f>343028109/1000000</f>
        <v>343.028109</v>
      </c>
      <c r="H28" s="40">
        <f>582909582/1000000</f>
        <v>582.909582</v>
      </c>
      <c r="I28" s="56" t="s">
        <v>90</v>
      </c>
      <c r="J28" s="56" t="s">
        <v>448</v>
      </c>
      <c r="K28" s="166">
        <v>0</v>
      </c>
      <c r="L28" s="166"/>
      <c r="M28" s="166"/>
      <c r="N28" s="166"/>
      <c r="O28" s="166"/>
      <c r="P28" s="166"/>
      <c r="Q28" s="166"/>
      <c r="R28" s="166"/>
      <c r="S28" s="166"/>
      <c r="T28" s="166"/>
      <c r="U28" s="4">
        <f t="shared" si="1"/>
        <v>0</v>
      </c>
      <c r="V28" s="167"/>
      <c r="W28" s="250"/>
      <c r="X28" s="250"/>
    </row>
    <row r="29" spans="2:24" s="49" customFormat="1" ht="99">
      <c r="B29" s="52" t="s">
        <v>422</v>
      </c>
      <c r="C29" s="52" t="s">
        <v>88</v>
      </c>
      <c r="D29" s="53" t="s">
        <v>91</v>
      </c>
      <c r="E29" s="54">
        <f>55325+1706.95</f>
        <v>57031.95</v>
      </c>
      <c r="F29" s="55" t="s">
        <v>88</v>
      </c>
      <c r="G29" s="40">
        <f>9015405294/1000000</f>
        <v>9015.405294</v>
      </c>
      <c r="H29" s="40">
        <v>7502.431383</v>
      </c>
      <c r="I29" s="59" t="s">
        <v>166</v>
      </c>
      <c r="J29" s="41" t="s">
        <v>451</v>
      </c>
      <c r="K29" s="41">
        <f>10326609843.6/1000000</f>
        <v>10326.609843600001</v>
      </c>
      <c r="L29" s="4"/>
      <c r="M29" s="4"/>
      <c r="N29" s="4"/>
      <c r="O29" s="4"/>
      <c r="P29" s="4"/>
      <c r="Q29" s="4"/>
      <c r="R29" s="4"/>
      <c r="S29" s="4"/>
      <c r="T29" s="4"/>
      <c r="U29" s="4">
        <f t="shared" si="1"/>
        <v>0</v>
      </c>
      <c r="V29" s="14"/>
      <c r="W29" s="250"/>
      <c r="X29" s="250"/>
    </row>
    <row r="30" spans="2:24" s="49" customFormat="1" ht="191.25" customHeight="1">
      <c r="B30" s="52" t="s">
        <v>422</v>
      </c>
      <c r="C30" s="52" t="s">
        <v>88</v>
      </c>
      <c r="D30" s="53" t="s">
        <v>92</v>
      </c>
      <c r="E30" s="54">
        <f>16108.212474+223</f>
        <v>16331.212474</v>
      </c>
      <c r="F30" s="55" t="s">
        <v>88</v>
      </c>
      <c r="G30" s="40">
        <f>2899250824/1000000</f>
        <v>2899.250824</v>
      </c>
      <c r="H30" s="40">
        <v>6428.85153</v>
      </c>
      <c r="I30" s="53" t="s">
        <v>167</v>
      </c>
      <c r="J30" s="53" t="s">
        <v>452</v>
      </c>
      <c r="K30" s="41">
        <f>9835525721/1000000</f>
        <v>9835.525721</v>
      </c>
      <c r="L30" s="4"/>
      <c r="M30" s="4"/>
      <c r="N30" s="4"/>
      <c r="O30" s="4"/>
      <c r="P30" s="4"/>
      <c r="Q30" s="4"/>
      <c r="R30" s="4"/>
      <c r="S30" s="4"/>
      <c r="T30" s="4"/>
      <c r="U30" s="4">
        <f t="shared" si="1"/>
        <v>0</v>
      </c>
      <c r="V30" s="14"/>
      <c r="W30" s="250"/>
      <c r="X30" s="250"/>
    </row>
    <row r="31" spans="2:24" s="49" customFormat="1" ht="66">
      <c r="B31" s="52" t="s">
        <v>422</v>
      </c>
      <c r="C31" s="52" t="s">
        <v>88</v>
      </c>
      <c r="D31" s="53" t="s">
        <v>93</v>
      </c>
      <c r="E31" s="54">
        <f>32508+1706.95</f>
        <v>34214.95</v>
      </c>
      <c r="F31" s="55" t="s">
        <v>88</v>
      </c>
      <c r="G31" s="40">
        <f>9079679014/1000000</f>
        <v>9079.679014</v>
      </c>
      <c r="H31" s="40">
        <v>9247.978533</v>
      </c>
      <c r="I31" s="59" t="s">
        <v>168</v>
      </c>
      <c r="J31" s="59" t="s">
        <v>55</v>
      </c>
      <c r="K31" s="166">
        <f>(10680115511+3367056023)/1000000</f>
        <v>14047.171534</v>
      </c>
      <c r="L31" s="166"/>
      <c r="M31" s="166"/>
      <c r="N31" s="166"/>
      <c r="O31" s="166"/>
      <c r="P31" s="166"/>
      <c r="Q31" s="166"/>
      <c r="R31" s="166"/>
      <c r="S31" s="166"/>
      <c r="T31" s="166"/>
      <c r="U31" s="4">
        <f t="shared" si="1"/>
        <v>0</v>
      </c>
      <c r="V31" s="14"/>
      <c r="W31" s="250"/>
      <c r="X31" s="250"/>
    </row>
    <row r="32" spans="2:24" s="49" customFormat="1" ht="176.25" customHeight="1">
      <c r="B32" s="52" t="s">
        <v>422</v>
      </c>
      <c r="C32" s="52" t="s">
        <v>88</v>
      </c>
      <c r="D32" s="39" t="s">
        <v>94</v>
      </c>
      <c r="E32" s="54">
        <v>40</v>
      </c>
      <c r="F32" s="55" t="s">
        <v>88</v>
      </c>
      <c r="G32" s="40">
        <v>0</v>
      </c>
      <c r="H32" s="40">
        <v>161.7</v>
      </c>
      <c r="I32" s="60" t="s">
        <v>172</v>
      </c>
      <c r="J32" s="38" t="s">
        <v>450</v>
      </c>
      <c r="K32" s="60">
        <v>0</v>
      </c>
      <c r="L32" s="11"/>
      <c r="M32" s="11"/>
      <c r="N32" s="11"/>
      <c r="O32" s="11"/>
      <c r="P32" s="11"/>
      <c r="Q32" s="11"/>
      <c r="R32" s="11"/>
      <c r="S32" s="11"/>
      <c r="T32" s="11"/>
      <c r="U32" s="4">
        <f t="shared" si="1"/>
        <v>0</v>
      </c>
      <c r="V32" s="11"/>
      <c r="W32" s="250"/>
      <c r="X32" s="250"/>
    </row>
    <row r="33" spans="2:24" s="49" customFormat="1" ht="148.5">
      <c r="B33" s="52" t="s">
        <v>422</v>
      </c>
      <c r="C33" s="52" t="s">
        <v>88</v>
      </c>
      <c r="D33" s="39" t="s">
        <v>96</v>
      </c>
      <c r="E33" s="54">
        <v>2317.937678</v>
      </c>
      <c r="F33" s="55" t="s">
        <v>88</v>
      </c>
      <c r="G33" s="40">
        <f>207856002/1000000</f>
        <v>207.856002</v>
      </c>
      <c r="H33" s="40">
        <v>292.4707</v>
      </c>
      <c r="I33" s="53" t="s">
        <v>97</v>
      </c>
      <c r="J33" s="53" t="s">
        <v>57</v>
      </c>
      <c r="K33" s="41">
        <f>110587680/1000000</f>
        <v>110.58768</v>
      </c>
      <c r="L33" s="4"/>
      <c r="M33" s="4"/>
      <c r="N33" s="4"/>
      <c r="O33" s="4"/>
      <c r="P33" s="4"/>
      <c r="Q33" s="4"/>
      <c r="R33" s="4"/>
      <c r="S33" s="4"/>
      <c r="T33" s="4"/>
      <c r="U33" s="4">
        <f t="shared" si="1"/>
        <v>0</v>
      </c>
      <c r="V33" s="9"/>
      <c r="W33" s="250"/>
      <c r="X33" s="250"/>
    </row>
    <row r="34" spans="2:24" s="49" customFormat="1" ht="148.5">
      <c r="B34" s="52" t="s">
        <v>422</v>
      </c>
      <c r="C34" s="52" t="s">
        <v>88</v>
      </c>
      <c r="D34" s="39" t="s">
        <v>98</v>
      </c>
      <c r="E34" s="54">
        <v>8053.722961</v>
      </c>
      <c r="F34" s="55" t="s">
        <v>88</v>
      </c>
      <c r="G34" s="40">
        <f>420826513/1000000</f>
        <v>420.826513</v>
      </c>
      <c r="H34" s="40">
        <v>319.2107</v>
      </c>
      <c r="I34" s="53" t="s">
        <v>97</v>
      </c>
      <c r="J34" s="53" t="s">
        <v>58</v>
      </c>
      <c r="K34" s="41">
        <f>312568560/1000000</f>
        <v>312.56856</v>
      </c>
      <c r="L34" s="4"/>
      <c r="M34" s="4"/>
      <c r="N34" s="4"/>
      <c r="O34" s="4"/>
      <c r="P34" s="4"/>
      <c r="Q34" s="4"/>
      <c r="R34" s="4"/>
      <c r="S34" s="4"/>
      <c r="T34" s="4"/>
      <c r="U34" s="4">
        <f t="shared" si="1"/>
        <v>0</v>
      </c>
      <c r="V34" s="9"/>
      <c r="W34" s="250"/>
      <c r="X34" s="250"/>
    </row>
    <row r="35" spans="2:24" s="49" customFormat="1" ht="273" customHeight="1">
      <c r="B35" s="52" t="s">
        <v>422</v>
      </c>
      <c r="C35" s="52" t="s">
        <v>88</v>
      </c>
      <c r="D35" s="39" t="s">
        <v>99</v>
      </c>
      <c r="E35" s="54">
        <v>1296.754506</v>
      </c>
      <c r="F35" s="55" t="s">
        <v>88</v>
      </c>
      <c r="G35" s="40">
        <v>0</v>
      </c>
      <c r="H35" s="40">
        <v>261.19795</v>
      </c>
      <c r="I35" s="53" t="s">
        <v>373</v>
      </c>
      <c r="J35" s="53" t="s">
        <v>449</v>
      </c>
      <c r="K35" s="41">
        <v>0</v>
      </c>
      <c r="L35" s="4"/>
      <c r="M35" s="4"/>
      <c r="N35" s="4"/>
      <c r="O35" s="4"/>
      <c r="P35" s="4"/>
      <c r="Q35" s="4"/>
      <c r="R35" s="4"/>
      <c r="S35" s="4"/>
      <c r="T35" s="4"/>
      <c r="U35" s="4">
        <f t="shared" si="1"/>
        <v>0</v>
      </c>
      <c r="V35" s="9"/>
      <c r="W35" s="250"/>
      <c r="X35" s="250"/>
    </row>
    <row r="36" spans="2:24" s="49" customFormat="1" ht="148.5">
      <c r="B36" s="52" t="s">
        <v>422</v>
      </c>
      <c r="C36" s="52" t="s">
        <v>88</v>
      </c>
      <c r="D36" s="52" t="s">
        <v>290</v>
      </c>
      <c r="E36" s="54">
        <f>206234.891082034+1706.95+2194.65</f>
        <v>210136.49108203402</v>
      </c>
      <c r="F36" s="55" t="s">
        <v>88</v>
      </c>
      <c r="G36" s="40">
        <f>32584803818/1000000</f>
        <v>32584.803818</v>
      </c>
      <c r="H36" s="40">
        <v>66120.510571</v>
      </c>
      <c r="I36" s="60" t="s">
        <v>374</v>
      </c>
      <c r="J36" s="53" t="s">
        <v>59</v>
      </c>
      <c r="K36" s="41">
        <f>75847933216/1000000</f>
        <v>75847.933216</v>
      </c>
      <c r="L36" s="4"/>
      <c r="M36" s="4"/>
      <c r="N36" s="4"/>
      <c r="O36" s="4"/>
      <c r="P36" s="4"/>
      <c r="Q36" s="4"/>
      <c r="R36" s="4"/>
      <c r="S36" s="4"/>
      <c r="T36" s="4"/>
      <c r="U36" s="4">
        <f t="shared" si="1"/>
        <v>0</v>
      </c>
      <c r="V36" s="11"/>
      <c r="W36" s="250"/>
      <c r="X36" s="250"/>
    </row>
    <row r="37" spans="2:24" s="49" customFormat="1" ht="99">
      <c r="B37" s="52" t="s">
        <v>422</v>
      </c>
      <c r="C37" s="52" t="s">
        <v>88</v>
      </c>
      <c r="D37" s="52" t="s">
        <v>291</v>
      </c>
      <c r="E37" s="54">
        <v>9063.24123237166</v>
      </c>
      <c r="F37" s="55" t="s">
        <v>88</v>
      </c>
      <c r="G37" s="40">
        <f>150710548/1000000</f>
        <v>150.710548</v>
      </c>
      <c r="H37" s="61">
        <v>1147.1995</v>
      </c>
      <c r="I37" s="62" t="s">
        <v>375</v>
      </c>
      <c r="J37" s="53" t="s">
        <v>60</v>
      </c>
      <c r="K37" s="41">
        <v>1841.943582</v>
      </c>
      <c r="L37" s="4"/>
      <c r="M37" s="4"/>
      <c r="N37" s="4"/>
      <c r="O37" s="4"/>
      <c r="P37" s="4"/>
      <c r="Q37" s="4"/>
      <c r="R37" s="4"/>
      <c r="S37" s="4"/>
      <c r="T37" s="4"/>
      <c r="U37" s="4">
        <f t="shared" si="1"/>
        <v>0</v>
      </c>
      <c r="V37" s="17"/>
      <c r="W37" s="250"/>
      <c r="X37" s="250"/>
    </row>
    <row r="38" spans="2:24" s="49" customFormat="1" ht="192.75" customHeight="1">
      <c r="B38" s="52" t="s">
        <v>422</v>
      </c>
      <c r="C38" s="52" t="s">
        <v>88</v>
      </c>
      <c r="D38" s="53" t="s">
        <v>290</v>
      </c>
      <c r="E38" s="54">
        <v>971.199529</v>
      </c>
      <c r="F38" s="55" t="s">
        <v>88</v>
      </c>
      <c r="G38" s="40">
        <f>127322599/1000000</f>
        <v>127.322599</v>
      </c>
      <c r="H38" s="40">
        <v>56.375</v>
      </c>
      <c r="I38" s="38" t="s">
        <v>226</v>
      </c>
      <c r="J38" s="38" t="s">
        <v>453</v>
      </c>
      <c r="K38" s="41">
        <v>82.574</v>
      </c>
      <c r="L38" s="4"/>
      <c r="M38" s="4"/>
      <c r="N38" s="4"/>
      <c r="O38" s="4"/>
      <c r="P38" s="4"/>
      <c r="Q38" s="4"/>
      <c r="R38" s="4"/>
      <c r="S38" s="4"/>
      <c r="T38" s="4"/>
      <c r="U38" s="4">
        <f t="shared" si="1"/>
        <v>0</v>
      </c>
      <c r="V38" s="10"/>
      <c r="W38" s="250"/>
      <c r="X38" s="250"/>
    </row>
    <row r="39" spans="2:24" s="49" customFormat="1" ht="171" customHeight="1">
      <c r="B39" s="52" t="s">
        <v>422</v>
      </c>
      <c r="C39" s="52" t="s">
        <v>88</v>
      </c>
      <c r="D39" s="53" t="s">
        <v>227</v>
      </c>
      <c r="E39" s="54">
        <v>812.086588</v>
      </c>
      <c r="F39" s="55" t="s">
        <v>88</v>
      </c>
      <c r="G39" s="40">
        <f>527358203/1000000</f>
        <v>527.358203</v>
      </c>
      <c r="H39" s="40">
        <v>209.64</v>
      </c>
      <c r="I39" s="60" t="s">
        <v>376</v>
      </c>
      <c r="J39" s="38" t="s">
        <v>228</v>
      </c>
      <c r="K39" s="41">
        <v>594.119382</v>
      </c>
      <c r="L39" s="4"/>
      <c r="M39" s="4"/>
      <c r="N39" s="4"/>
      <c r="O39" s="4"/>
      <c r="P39" s="4"/>
      <c r="Q39" s="4"/>
      <c r="R39" s="4"/>
      <c r="S39" s="4"/>
      <c r="T39" s="4"/>
      <c r="U39" s="4">
        <f t="shared" si="1"/>
        <v>0</v>
      </c>
      <c r="V39" s="9"/>
      <c r="W39" s="250"/>
      <c r="X39" s="250"/>
    </row>
    <row r="40" spans="2:24" s="49" customFormat="1" ht="156.75" customHeight="1">
      <c r="B40" s="48" t="s">
        <v>142</v>
      </c>
      <c r="C40" s="48" t="s">
        <v>143</v>
      </c>
      <c r="D40" s="41" t="s">
        <v>144</v>
      </c>
      <c r="E40" s="40">
        <v>200</v>
      </c>
      <c r="F40" s="41" t="s">
        <v>143</v>
      </c>
      <c r="G40" s="40">
        <v>0</v>
      </c>
      <c r="H40" s="40">
        <v>52</v>
      </c>
      <c r="I40" s="63" t="s">
        <v>145</v>
      </c>
      <c r="J40" s="63" t="s">
        <v>61</v>
      </c>
      <c r="K40" s="63">
        <v>40</v>
      </c>
      <c r="L40" s="18"/>
      <c r="M40" s="18"/>
      <c r="N40" s="18"/>
      <c r="O40" s="18"/>
      <c r="P40" s="18"/>
      <c r="Q40" s="18"/>
      <c r="R40" s="18"/>
      <c r="S40" s="18"/>
      <c r="T40" s="18"/>
      <c r="U40" s="4">
        <f t="shared" si="1"/>
        <v>0</v>
      </c>
      <c r="V40" s="18"/>
      <c r="W40" s="250"/>
      <c r="X40" s="250"/>
    </row>
    <row r="41" spans="2:24" s="49" customFormat="1" ht="165">
      <c r="B41" s="52" t="s">
        <v>183</v>
      </c>
      <c r="C41" s="52" t="s">
        <v>146</v>
      </c>
      <c r="D41" s="55" t="s">
        <v>147</v>
      </c>
      <c r="E41" s="54">
        <f>91293.873922+1706.95</f>
        <v>93000.823922</v>
      </c>
      <c r="F41" s="55" t="s">
        <v>148</v>
      </c>
      <c r="G41" s="40">
        <f>35765339575/1000000</f>
        <v>35765.339575</v>
      </c>
      <c r="H41" s="40">
        <v>27200</v>
      </c>
      <c r="I41" s="53" t="s">
        <v>377</v>
      </c>
      <c r="J41" s="53" t="s">
        <v>488</v>
      </c>
      <c r="K41" s="63">
        <f>((22984696367.5299*0.851)+5796584495+8990243359)/1000000</f>
        <v>34346.80446276794</v>
      </c>
      <c r="L41" s="18"/>
      <c r="M41" s="18"/>
      <c r="N41" s="18"/>
      <c r="O41" s="18"/>
      <c r="P41" s="18"/>
      <c r="Q41" s="18"/>
      <c r="R41" s="18"/>
      <c r="S41" s="18"/>
      <c r="T41" s="18"/>
      <c r="U41" s="4">
        <f t="shared" si="1"/>
        <v>0</v>
      </c>
      <c r="V41" s="9"/>
      <c r="W41" s="250"/>
      <c r="X41" s="250"/>
    </row>
    <row r="42" spans="2:24" s="49" customFormat="1" ht="264">
      <c r="B42" s="64" t="s">
        <v>183</v>
      </c>
      <c r="C42" s="64" t="s">
        <v>146</v>
      </c>
      <c r="D42" s="55" t="s">
        <v>147</v>
      </c>
      <c r="E42" s="54">
        <f>22578.427437+1706.95</f>
        <v>24285.377437</v>
      </c>
      <c r="F42" s="55" t="s">
        <v>148</v>
      </c>
      <c r="G42" s="40">
        <f>6309956497/1000000</f>
        <v>6309.956497</v>
      </c>
      <c r="H42" s="40">
        <v>4112.200014</v>
      </c>
      <c r="I42" s="53" t="s">
        <v>115</v>
      </c>
      <c r="J42" s="53" t="s">
        <v>62</v>
      </c>
      <c r="K42" s="63">
        <f>8248051800/1000000</f>
        <v>8248.0518</v>
      </c>
      <c r="L42" s="18"/>
      <c r="M42" s="18"/>
      <c r="N42" s="18"/>
      <c r="O42" s="18"/>
      <c r="P42" s="18"/>
      <c r="Q42" s="18"/>
      <c r="R42" s="18"/>
      <c r="S42" s="18"/>
      <c r="T42" s="18"/>
      <c r="U42" s="4">
        <f t="shared" si="1"/>
        <v>0</v>
      </c>
      <c r="V42" s="9"/>
      <c r="W42" s="250"/>
      <c r="X42" s="250"/>
    </row>
    <row r="43" spans="2:24" s="49" customFormat="1" ht="115.5">
      <c r="B43" s="64" t="s">
        <v>183</v>
      </c>
      <c r="C43" s="64" t="s">
        <v>146</v>
      </c>
      <c r="D43" s="55" t="s">
        <v>147</v>
      </c>
      <c r="E43" s="65">
        <f>118345+1706.95</f>
        <v>120051.95</v>
      </c>
      <c r="F43" s="55" t="s">
        <v>148</v>
      </c>
      <c r="G43" s="40">
        <f>31063129564.98/1000000</f>
        <v>31063.12956498</v>
      </c>
      <c r="H43" s="40">
        <v>36457.1930598008</v>
      </c>
      <c r="I43" s="66" t="s">
        <v>116</v>
      </c>
      <c r="J43" s="66" t="s">
        <v>63</v>
      </c>
      <c r="K43" s="63">
        <f>(33000000000*0.74)/1000000</f>
        <v>24420</v>
      </c>
      <c r="L43" s="18"/>
      <c r="M43" s="18"/>
      <c r="N43" s="18"/>
      <c r="O43" s="18"/>
      <c r="P43" s="18"/>
      <c r="Q43" s="18"/>
      <c r="R43" s="18"/>
      <c r="S43" s="18"/>
      <c r="T43" s="18"/>
      <c r="U43" s="4">
        <f t="shared" si="1"/>
        <v>0</v>
      </c>
      <c r="V43" s="12"/>
      <c r="W43" s="250"/>
      <c r="X43" s="250"/>
    </row>
    <row r="44" spans="2:24" s="49" customFormat="1" ht="264">
      <c r="B44" s="52" t="s">
        <v>149</v>
      </c>
      <c r="C44" s="39" t="s">
        <v>150</v>
      </c>
      <c r="D44" s="39" t="s">
        <v>151</v>
      </c>
      <c r="E44" s="54">
        <f>64000+10698</f>
        <v>74698</v>
      </c>
      <c r="F44" s="39" t="s">
        <v>152</v>
      </c>
      <c r="G44" s="40">
        <f>24018257127/1000000</f>
        <v>24018.257127</v>
      </c>
      <c r="H44" s="40">
        <v>34576</v>
      </c>
      <c r="I44" s="67" t="s">
        <v>117</v>
      </c>
      <c r="J44" s="67" t="s">
        <v>495</v>
      </c>
      <c r="K44" s="63">
        <f>19900+10956</f>
        <v>30856</v>
      </c>
      <c r="L44" s="18"/>
      <c r="M44" s="18"/>
      <c r="N44" s="18"/>
      <c r="O44" s="18"/>
      <c r="P44" s="18"/>
      <c r="Q44" s="18"/>
      <c r="R44" s="18"/>
      <c r="S44" s="18"/>
      <c r="T44" s="18"/>
      <c r="U44" s="4">
        <f t="shared" si="1"/>
        <v>0</v>
      </c>
      <c r="V44" s="5"/>
      <c r="W44" s="250"/>
      <c r="X44" s="250"/>
    </row>
    <row r="45" spans="2:24" s="49" customFormat="1" ht="198">
      <c r="B45" s="48" t="s">
        <v>422</v>
      </c>
      <c r="C45" s="48" t="s">
        <v>112</v>
      </c>
      <c r="D45" s="41" t="s">
        <v>342</v>
      </c>
      <c r="E45" s="40">
        <v>9850.403814233174</v>
      </c>
      <c r="F45" s="41" t="s">
        <v>114</v>
      </c>
      <c r="G45" s="40">
        <f>2070928880/1000000</f>
        <v>2070.92888</v>
      </c>
      <c r="H45" s="40">
        <v>0</v>
      </c>
      <c r="I45" s="67" t="s">
        <v>343</v>
      </c>
      <c r="J45" s="67" t="s">
        <v>64</v>
      </c>
      <c r="K45" s="40">
        <v>0</v>
      </c>
      <c r="L45" s="7"/>
      <c r="M45" s="7"/>
      <c r="N45" s="7"/>
      <c r="O45" s="40"/>
      <c r="P45" s="40"/>
      <c r="Q45" s="40"/>
      <c r="R45" s="40"/>
      <c r="S45" s="40"/>
      <c r="T45" s="40"/>
      <c r="U45" s="4">
        <f t="shared" si="1"/>
        <v>0</v>
      </c>
      <c r="V45" s="5"/>
      <c r="W45" s="250"/>
      <c r="X45" s="250"/>
    </row>
    <row r="46" spans="2:24" s="49" customFormat="1" ht="144" customHeight="1">
      <c r="B46" s="41" t="s">
        <v>422</v>
      </c>
      <c r="C46" s="41" t="s">
        <v>112</v>
      </c>
      <c r="D46" s="41" t="s">
        <v>344</v>
      </c>
      <c r="E46" s="40">
        <v>40610</v>
      </c>
      <c r="F46" s="41" t="s">
        <v>114</v>
      </c>
      <c r="G46" s="40">
        <f>5969000000/1000000</f>
        <v>5969</v>
      </c>
      <c r="H46" s="40">
        <v>5937</v>
      </c>
      <c r="I46" s="43" t="s">
        <v>118</v>
      </c>
      <c r="J46" s="43" t="s">
        <v>489</v>
      </c>
      <c r="K46" s="40">
        <f>9176346990/1000000</f>
        <v>9176.34699</v>
      </c>
      <c r="L46" s="7"/>
      <c r="M46" s="7"/>
      <c r="N46" s="7"/>
      <c r="O46" s="7"/>
      <c r="P46" s="7"/>
      <c r="Q46" s="7"/>
      <c r="R46" s="7"/>
      <c r="S46" s="7"/>
      <c r="T46" s="7"/>
      <c r="U46" s="4">
        <f t="shared" si="1"/>
        <v>0</v>
      </c>
      <c r="V46" s="6"/>
      <c r="W46" s="250"/>
      <c r="X46" s="250"/>
    </row>
    <row r="47" spans="2:24" s="42" customFormat="1" ht="66">
      <c r="B47" s="52" t="s">
        <v>422</v>
      </c>
      <c r="C47" s="52" t="s">
        <v>88</v>
      </c>
      <c r="D47" s="53" t="s">
        <v>345</v>
      </c>
      <c r="E47" s="54">
        <v>6302.018022</v>
      </c>
      <c r="F47" s="55" t="s">
        <v>88</v>
      </c>
      <c r="G47" s="40">
        <f>2684738600/1000000</f>
        <v>2684.7386</v>
      </c>
      <c r="H47" s="40">
        <v>2250.2395</v>
      </c>
      <c r="I47" s="59" t="s">
        <v>119</v>
      </c>
      <c r="J47" s="59" t="s">
        <v>490</v>
      </c>
      <c r="K47" s="57">
        <v>1000.96648</v>
      </c>
      <c r="L47" s="15"/>
      <c r="M47" s="15"/>
      <c r="N47" s="15"/>
      <c r="O47" s="15"/>
      <c r="P47" s="15"/>
      <c r="Q47" s="15"/>
      <c r="R47" s="15"/>
      <c r="S47" s="15"/>
      <c r="T47" s="15"/>
      <c r="U47" s="4">
        <f t="shared" si="1"/>
        <v>0</v>
      </c>
      <c r="V47" s="16"/>
      <c r="W47" s="250"/>
      <c r="X47" s="250"/>
    </row>
    <row r="48" spans="2:24" s="70" customFormat="1" ht="99">
      <c r="B48" s="52" t="s">
        <v>422</v>
      </c>
      <c r="C48" s="52" t="s">
        <v>88</v>
      </c>
      <c r="D48" s="53" t="s">
        <v>346</v>
      </c>
      <c r="E48" s="54">
        <v>65.253036</v>
      </c>
      <c r="F48" s="55" t="s">
        <v>88</v>
      </c>
      <c r="G48" s="40">
        <f>223851981/1000000</f>
        <v>223.851981</v>
      </c>
      <c r="H48" s="40">
        <v>546.949808</v>
      </c>
      <c r="I48" s="68" t="s">
        <v>120</v>
      </c>
      <c r="J48" s="68" t="s">
        <v>56</v>
      </c>
      <c r="K48" s="69">
        <v>0</v>
      </c>
      <c r="L48" s="20"/>
      <c r="M48" s="20"/>
      <c r="N48" s="20"/>
      <c r="O48" s="20"/>
      <c r="P48" s="20"/>
      <c r="Q48" s="20"/>
      <c r="R48" s="20"/>
      <c r="S48" s="20"/>
      <c r="T48" s="20"/>
      <c r="U48" s="4">
        <f t="shared" si="1"/>
        <v>0</v>
      </c>
      <c r="V48" s="19"/>
      <c r="W48" s="250"/>
      <c r="X48" s="250"/>
    </row>
    <row r="49" spans="2:24" s="42" customFormat="1" ht="115.5">
      <c r="B49" s="52" t="s">
        <v>422</v>
      </c>
      <c r="C49" s="52" t="s">
        <v>88</v>
      </c>
      <c r="D49" s="53" t="s">
        <v>229</v>
      </c>
      <c r="E49" s="54">
        <v>338.312913</v>
      </c>
      <c r="F49" s="55" t="s">
        <v>88</v>
      </c>
      <c r="G49" s="40">
        <f>527358203/1000000</f>
        <v>527.358203</v>
      </c>
      <c r="H49" s="40">
        <v>250.7056</v>
      </c>
      <c r="I49" s="53" t="s">
        <v>95</v>
      </c>
      <c r="J49" s="53" t="s">
        <v>496</v>
      </c>
      <c r="K49" s="60">
        <v>0</v>
      </c>
      <c r="L49" s="11"/>
      <c r="M49" s="11"/>
      <c r="N49" s="11"/>
      <c r="O49" s="168"/>
      <c r="P49" s="168"/>
      <c r="Q49" s="168"/>
      <c r="R49" s="168"/>
      <c r="S49" s="168"/>
      <c r="T49" s="168"/>
      <c r="U49" s="4">
        <f t="shared" si="1"/>
        <v>0</v>
      </c>
      <c r="V49" s="9"/>
      <c r="W49" s="250"/>
      <c r="X49" s="250"/>
    </row>
    <row r="50" spans="2:24" s="49" customFormat="1" ht="66">
      <c r="B50" s="52" t="s">
        <v>422</v>
      </c>
      <c r="C50" s="52" t="s">
        <v>88</v>
      </c>
      <c r="D50" s="53" t="s">
        <v>89</v>
      </c>
      <c r="E50" s="54">
        <v>177.133578</v>
      </c>
      <c r="F50" s="55" t="s">
        <v>88</v>
      </c>
      <c r="G50" s="40">
        <v>0</v>
      </c>
      <c r="H50" s="40">
        <v>299.02964</v>
      </c>
      <c r="I50" s="71"/>
      <c r="J50" s="53" t="s">
        <v>65</v>
      </c>
      <c r="K50" s="72">
        <v>0</v>
      </c>
      <c r="L50" s="21"/>
      <c r="M50" s="21"/>
      <c r="N50" s="21"/>
      <c r="O50" s="21"/>
      <c r="P50" s="21"/>
      <c r="Q50" s="21"/>
      <c r="R50" s="21"/>
      <c r="S50" s="21"/>
      <c r="T50" s="21"/>
      <c r="U50" s="4">
        <f t="shared" si="1"/>
        <v>0</v>
      </c>
      <c r="V50" s="9"/>
      <c r="W50" s="250"/>
      <c r="X50" s="250"/>
    </row>
    <row r="51" spans="2:24" s="49" customFormat="1" ht="132">
      <c r="B51" s="52" t="s">
        <v>230</v>
      </c>
      <c r="C51" s="52" t="s">
        <v>231</v>
      </c>
      <c r="D51" s="52" t="s">
        <v>232</v>
      </c>
      <c r="E51" s="54">
        <f>5968.195786+2194.65</f>
        <v>8162.845786</v>
      </c>
      <c r="F51" s="55" t="s">
        <v>233</v>
      </c>
      <c r="G51" s="40">
        <f>720428924/1000000</f>
        <v>720.428924</v>
      </c>
      <c r="H51" s="40">
        <v>1727</v>
      </c>
      <c r="I51" s="73" t="s">
        <v>234</v>
      </c>
      <c r="J51" s="73" t="s">
        <v>491</v>
      </c>
      <c r="K51" s="40">
        <f>1477384520/1000000</f>
        <v>1477.38452</v>
      </c>
      <c r="L51" s="7"/>
      <c r="M51" s="7"/>
      <c r="N51" s="7"/>
      <c r="O51" s="7"/>
      <c r="P51" s="7"/>
      <c r="Q51" s="7"/>
      <c r="R51" s="7"/>
      <c r="S51" s="7"/>
      <c r="T51" s="7"/>
      <c r="U51" s="4">
        <f t="shared" si="1"/>
        <v>0</v>
      </c>
      <c r="V51" s="22"/>
      <c r="W51" s="250"/>
      <c r="X51" s="250"/>
    </row>
    <row r="52" spans="2:24" s="49" customFormat="1" ht="82.5">
      <c r="B52" s="52" t="s">
        <v>422</v>
      </c>
      <c r="C52" s="52" t="s">
        <v>235</v>
      </c>
      <c r="D52" s="38" t="s">
        <v>236</v>
      </c>
      <c r="E52" s="54">
        <v>706.382376</v>
      </c>
      <c r="F52" s="55" t="s">
        <v>235</v>
      </c>
      <c r="G52" s="40">
        <f>66260000/1000000</f>
        <v>66.26</v>
      </c>
      <c r="H52" s="54">
        <v>534</v>
      </c>
      <c r="I52" s="67" t="s">
        <v>121</v>
      </c>
      <c r="J52" s="67" t="s">
        <v>66</v>
      </c>
      <c r="K52" s="40">
        <v>500</v>
      </c>
      <c r="L52" s="7"/>
      <c r="M52" s="7"/>
      <c r="N52" s="7"/>
      <c r="O52" s="7"/>
      <c r="P52" s="7"/>
      <c r="Q52" s="7"/>
      <c r="R52" s="7"/>
      <c r="S52" s="7"/>
      <c r="T52" s="7"/>
      <c r="U52" s="4">
        <f t="shared" si="1"/>
        <v>0</v>
      </c>
      <c r="V52" s="5"/>
      <c r="W52" s="250"/>
      <c r="X52" s="250"/>
    </row>
    <row r="53" spans="2:24" s="49" customFormat="1" ht="148.5">
      <c r="B53" s="52" t="s">
        <v>422</v>
      </c>
      <c r="C53" s="52" t="s">
        <v>235</v>
      </c>
      <c r="D53" s="38" t="s">
        <v>237</v>
      </c>
      <c r="E53" s="54">
        <v>706.382376</v>
      </c>
      <c r="F53" s="55" t="s">
        <v>235</v>
      </c>
      <c r="G53" s="40">
        <f>82125284.0858082/1000000</f>
        <v>82.1252840858082</v>
      </c>
      <c r="H53" s="54">
        <v>246</v>
      </c>
      <c r="I53" s="67" t="s">
        <v>122</v>
      </c>
      <c r="J53" s="67" t="s">
        <v>67</v>
      </c>
      <c r="K53" s="40">
        <v>190</v>
      </c>
      <c r="L53" s="7"/>
      <c r="M53" s="7"/>
      <c r="N53" s="7"/>
      <c r="O53" s="7"/>
      <c r="P53" s="7"/>
      <c r="Q53" s="7"/>
      <c r="R53" s="7"/>
      <c r="S53" s="7"/>
      <c r="T53" s="7"/>
      <c r="U53" s="4">
        <f t="shared" si="1"/>
        <v>0</v>
      </c>
      <c r="V53" s="5"/>
      <c r="W53" s="250"/>
      <c r="X53" s="250"/>
    </row>
    <row r="54" spans="2:24" s="49" customFormat="1" ht="82.5">
      <c r="B54" s="52" t="s">
        <v>422</v>
      </c>
      <c r="C54" s="52" t="s">
        <v>235</v>
      </c>
      <c r="D54" s="38" t="s">
        <v>238</v>
      </c>
      <c r="E54" s="54">
        <v>706.382376</v>
      </c>
      <c r="F54" s="55" t="s">
        <v>235</v>
      </c>
      <c r="G54" s="40">
        <f>527408860.1216/1000000</f>
        <v>527.4088601216</v>
      </c>
      <c r="H54" s="54">
        <v>496</v>
      </c>
      <c r="I54" s="67" t="s">
        <v>123</v>
      </c>
      <c r="J54" s="67" t="s">
        <v>430</v>
      </c>
      <c r="K54" s="40">
        <v>390</v>
      </c>
      <c r="L54" s="7"/>
      <c r="M54" s="7"/>
      <c r="N54" s="7"/>
      <c r="O54" s="7"/>
      <c r="P54" s="7"/>
      <c r="Q54" s="7"/>
      <c r="R54" s="7"/>
      <c r="S54" s="7"/>
      <c r="T54" s="7"/>
      <c r="U54" s="4">
        <f t="shared" si="1"/>
        <v>0</v>
      </c>
      <c r="V54" s="5"/>
      <c r="W54" s="250"/>
      <c r="X54" s="250"/>
    </row>
    <row r="55" spans="2:24" s="49" customFormat="1" ht="99">
      <c r="B55" s="52" t="s">
        <v>422</v>
      </c>
      <c r="C55" s="52" t="s">
        <v>235</v>
      </c>
      <c r="D55" s="38" t="s">
        <v>239</v>
      </c>
      <c r="E55" s="54">
        <v>3276.010072</v>
      </c>
      <c r="F55" s="55" t="s">
        <v>235</v>
      </c>
      <c r="G55" s="40">
        <f>415707142.857143/1000000</f>
        <v>415.70714285714297</v>
      </c>
      <c r="H55" s="54">
        <v>430</v>
      </c>
      <c r="I55" s="67" t="s">
        <v>124</v>
      </c>
      <c r="J55" s="67" t="s">
        <v>0</v>
      </c>
      <c r="K55" s="40">
        <v>430</v>
      </c>
      <c r="L55" s="7"/>
      <c r="M55" s="7"/>
      <c r="N55" s="7"/>
      <c r="O55" s="7"/>
      <c r="P55" s="7"/>
      <c r="Q55" s="7"/>
      <c r="R55" s="7"/>
      <c r="S55" s="7"/>
      <c r="T55" s="7"/>
      <c r="U55" s="4">
        <f t="shared" si="1"/>
        <v>0</v>
      </c>
      <c r="V55" s="5"/>
      <c r="W55" s="250"/>
      <c r="X55" s="250"/>
    </row>
    <row r="56" spans="2:24" ht="16.5">
      <c r="B56" s="44" t="s">
        <v>240</v>
      </c>
      <c r="C56" s="44"/>
      <c r="D56" s="44"/>
      <c r="E56" s="27">
        <f>SUM(E25:E55)</f>
        <v>780102.2654029219</v>
      </c>
      <c r="F56" s="44"/>
      <c r="G56" s="27">
        <f>SUM(G25:G55)</f>
        <v>172820.13213904458</v>
      </c>
      <c r="H56" s="27">
        <f>SUM(H25:H55)</f>
        <v>214770.79307080078</v>
      </c>
      <c r="I56" s="44"/>
      <c r="J56" s="44"/>
      <c r="K56" s="27">
        <f>SUM(K25:K55)</f>
        <v>228999.79974436792</v>
      </c>
      <c r="L56" s="27"/>
      <c r="M56" s="27">
        <f>SUM(M25:M55)</f>
        <v>0</v>
      </c>
      <c r="N56" s="27"/>
      <c r="O56" s="27"/>
      <c r="P56" s="27"/>
      <c r="Q56" s="27"/>
      <c r="R56" s="27"/>
      <c r="S56" s="27"/>
      <c r="T56" s="27"/>
      <c r="U56" s="27">
        <f>SUM(U25:U55)</f>
        <v>0</v>
      </c>
      <c r="V56" s="44"/>
      <c r="W56" s="253"/>
      <c r="X56" s="253"/>
    </row>
    <row r="57" spans="1:24" s="74" customFormat="1" ht="16.5" customHeight="1">
      <c r="A57" s="23"/>
      <c r="B57" s="34" t="s">
        <v>241</v>
      </c>
      <c r="C57" s="35"/>
      <c r="D57" s="35"/>
      <c r="E57" s="35"/>
      <c r="F57" s="35"/>
      <c r="G57" s="35"/>
      <c r="H57" s="29"/>
      <c r="I57" s="36"/>
      <c r="J57" s="36"/>
      <c r="K57" s="36"/>
      <c r="L57" s="36"/>
      <c r="M57" s="36"/>
      <c r="N57" s="36"/>
      <c r="O57" s="36"/>
      <c r="P57" s="36"/>
      <c r="Q57" s="36"/>
      <c r="R57" s="36"/>
      <c r="S57" s="36"/>
      <c r="T57" s="36"/>
      <c r="U57" s="36"/>
      <c r="V57" s="36"/>
      <c r="W57" s="36"/>
      <c r="X57" s="36"/>
    </row>
    <row r="58" spans="2:24" s="49" customFormat="1" ht="132">
      <c r="B58" s="310" t="s">
        <v>183</v>
      </c>
      <c r="C58" s="301" t="s">
        <v>146</v>
      </c>
      <c r="D58" s="301" t="s">
        <v>242</v>
      </c>
      <c r="E58" s="302">
        <v>60765</v>
      </c>
      <c r="F58" s="39" t="s">
        <v>243</v>
      </c>
      <c r="G58" s="40">
        <v>14281.92956510311</v>
      </c>
      <c r="H58" s="40">
        <v>9505.01</v>
      </c>
      <c r="I58" s="67" t="s">
        <v>125</v>
      </c>
      <c r="J58" s="67" t="s">
        <v>492</v>
      </c>
      <c r="K58" s="40">
        <v>7627.23</v>
      </c>
      <c r="L58" s="7"/>
      <c r="M58" s="7"/>
      <c r="N58" s="7"/>
      <c r="O58" s="7"/>
      <c r="P58" s="7"/>
      <c r="Q58" s="7"/>
      <c r="R58" s="7"/>
      <c r="S58" s="7"/>
      <c r="T58" s="7"/>
      <c r="U58" s="4">
        <f>+P58+Q58+R58+S58+T58</f>
        <v>0</v>
      </c>
      <c r="V58" s="5"/>
      <c r="W58" s="250"/>
      <c r="X58" s="250"/>
    </row>
    <row r="59" spans="2:24" s="49" customFormat="1" ht="108.75" customHeight="1">
      <c r="B59" s="310"/>
      <c r="C59" s="301"/>
      <c r="D59" s="301"/>
      <c r="E59" s="302"/>
      <c r="F59" s="39" t="s">
        <v>11</v>
      </c>
      <c r="G59" s="40">
        <v>6187.1222050531605</v>
      </c>
      <c r="H59" s="40">
        <v>4765.02</v>
      </c>
      <c r="I59" s="67" t="s">
        <v>126</v>
      </c>
      <c r="J59" s="67" t="s">
        <v>493</v>
      </c>
      <c r="K59" s="40">
        <v>4574.58</v>
      </c>
      <c r="L59" s="7"/>
      <c r="M59" s="7"/>
      <c r="N59" s="7"/>
      <c r="O59" s="7"/>
      <c r="P59" s="7"/>
      <c r="Q59" s="7"/>
      <c r="R59" s="7"/>
      <c r="S59" s="7"/>
      <c r="T59" s="7"/>
      <c r="U59" s="4">
        <f aca="true" t="shared" si="2" ref="U59:U66">+P59+Q59+R59+S59+T59</f>
        <v>0</v>
      </c>
      <c r="V59" s="5"/>
      <c r="W59" s="250"/>
      <c r="X59" s="250"/>
    </row>
    <row r="60" spans="2:24" s="49" customFormat="1" ht="208.5" customHeight="1">
      <c r="B60" s="310" t="s">
        <v>422</v>
      </c>
      <c r="C60" s="39" t="s">
        <v>12</v>
      </c>
      <c r="D60" s="75" t="s">
        <v>356</v>
      </c>
      <c r="E60" s="54">
        <v>25661</v>
      </c>
      <c r="F60" s="39" t="s">
        <v>357</v>
      </c>
      <c r="G60" s="40">
        <v>5715.512064</v>
      </c>
      <c r="H60" s="40">
        <v>5118.06</v>
      </c>
      <c r="I60" s="67" t="s">
        <v>127</v>
      </c>
      <c r="J60" s="67" t="s">
        <v>1</v>
      </c>
      <c r="K60" s="40">
        <v>6465</v>
      </c>
      <c r="L60" s="7"/>
      <c r="M60" s="7"/>
      <c r="N60" s="7"/>
      <c r="O60" s="7"/>
      <c r="P60" s="7"/>
      <c r="Q60" s="7"/>
      <c r="R60" s="7"/>
      <c r="S60" s="7"/>
      <c r="T60" s="7"/>
      <c r="U60" s="4">
        <f t="shared" si="2"/>
        <v>0</v>
      </c>
      <c r="V60" s="5"/>
      <c r="W60" s="250"/>
      <c r="X60" s="250"/>
    </row>
    <row r="61" spans="2:24" s="49" customFormat="1" ht="278.25" customHeight="1">
      <c r="B61" s="310"/>
      <c r="C61" s="39" t="s">
        <v>358</v>
      </c>
      <c r="D61" s="75" t="s">
        <v>359</v>
      </c>
      <c r="E61" s="54">
        <v>34288</v>
      </c>
      <c r="F61" s="39" t="s">
        <v>360</v>
      </c>
      <c r="G61" s="40">
        <v>3339.8512752961296</v>
      </c>
      <c r="H61" s="40">
        <v>8291.24</v>
      </c>
      <c r="I61" s="67" t="s">
        <v>128</v>
      </c>
      <c r="J61" s="67" t="s">
        <v>494</v>
      </c>
      <c r="K61" s="40">
        <v>13547.69</v>
      </c>
      <c r="L61" s="7"/>
      <c r="M61" s="7"/>
      <c r="N61" s="7"/>
      <c r="O61" s="7"/>
      <c r="P61" s="7"/>
      <c r="Q61" s="7"/>
      <c r="R61" s="7"/>
      <c r="S61" s="7"/>
      <c r="T61" s="7"/>
      <c r="U61" s="4">
        <f t="shared" si="2"/>
        <v>0</v>
      </c>
      <c r="V61" s="5"/>
      <c r="W61" s="250"/>
      <c r="X61" s="250"/>
    </row>
    <row r="62" spans="2:24" s="49" customFormat="1" ht="132">
      <c r="B62" s="55" t="s">
        <v>361</v>
      </c>
      <c r="C62" s="39" t="s">
        <v>362</v>
      </c>
      <c r="D62" s="39" t="s">
        <v>363</v>
      </c>
      <c r="E62" s="54">
        <v>503</v>
      </c>
      <c r="F62" s="39" t="s">
        <v>364</v>
      </c>
      <c r="G62" s="40">
        <v>126.0691262984</v>
      </c>
      <c r="H62" s="40">
        <v>240.11</v>
      </c>
      <c r="I62" s="67" t="s">
        <v>126</v>
      </c>
      <c r="J62" s="67" t="s">
        <v>2</v>
      </c>
      <c r="K62" s="40">
        <v>77.1</v>
      </c>
      <c r="L62" s="7"/>
      <c r="M62" s="7"/>
      <c r="N62" s="7"/>
      <c r="O62" s="7"/>
      <c r="P62" s="7"/>
      <c r="Q62" s="7"/>
      <c r="R62" s="7"/>
      <c r="S62" s="7"/>
      <c r="T62" s="7"/>
      <c r="U62" s="4">
        <f t="shared" si="2"/>
        <v>0</v>
      </c>
      <c r="V62" s="5"/>
      <c r="W62" s="250"/>
      <c r="X62" s="250"/>
    </row>
    <row r="63" spans="2:24" s="49" customFormat="1" ht="125.25" customHeight="1">
      <c r="B63" s="64" t="s">
        <v>422</v>
      </c>
      <c r="C63" s="76" t="s">
        <v>358</v>
      </c>
      <c r="D63" s="52"/>
      <c r="E63" s="65">
        <v>82820</v>
      </c>
      <c r="F63" s="53" t="s">
        <v>372</v>
      </c>
      <c r="G63" s="40">
        <v>0</v>
      </c>
      <c r="H63" s="40">
        <v>0</v>
      </c>
      <c r="I63" s="67"/>
      <c r="J63" s="67"/>
      <c r="K63" s="40"/>
      <c r="L63" s="7"/>
      <c r="M63" s="7"/>
      <c r="N63" s="7"/>
      <c r="O63" s="7"/>
      <c r="P63" s="7"/>
      <c r="Q63" s="7"/>
      <c r="R63" s="7"/>
      <c r="S63" s="7"/>
      <c r="T63" s="7"/>
      <c r="U63" s="4">
        <f t="shared" si="2"/>
        <v>0</v>
      </c>
      <c r="V63" s="5"/>
      <c r="W63" s="250"/>
      <c r="X63" s="250"/>
    </row>
    <row r="64" spans="2:24" s="49" customFormat="1" ht="115.5">
      <c r="B64" s="312" t="s">
        <v>149</v>
      </c>
      <c r="C64" s="315" t="s">
        <v>129</v>
      </c>
      <c r="D64" s="315" t="s">
        <v>130</v>
      </c>
      <c r="E64" s="54">
        <v>20590</v>
      </c>
      <c r="F64" s="39" t="s">
        <v>131</v>
      </c>
      <c r="G64" s="40">
        <v>3228.0078290943</v>
      </c>
      <c r="H64" s="40">
        <v>4223.85</v>
      </c>
      <c r="I64" s="67" t="s">
        <v>126</v>
      </c>
      <c r="J64" s="67" t="s">
        <v>3</v>
      </c>
      <c r="K64" s="40">
        <v>2886.09</v>
      </c>
      <c r="L64" s="7"/>
      <c r="M64" s="7"/>
      <c r="N64" s="7"/>
      <c r="O64" s="7"/>
      <c r="P64" s="7"/>
      <c r="Q64" s="7"/>
      <c r="R64" s="7"/>
      <c r="S64" s="7"/>
      <c r="T64" s="7"/>
      <c r="U64" s="4">
        <f t="shared" si="2"/>
        <v>0</v>
      </c>
      <c r="V64" s="5"/>
      <c r="W64" s="250"/>
      <c r="X64" s="250"/>
    </row>
    <row r="65" spans="2:24" s="49" customFormat="1" ht="115.5">
      <c r="B65" s="312"/>
      <c r="C65" s="315"/>
      <c r="D65" s="315"/>
      <c r="E65" s="54">
        <v>23370</v>
      </c>
      <c r="F65" s="39" t="s">
        <v>132</v>
      </c>
      <c r="G65" s="40">
        <v>7930.1834512884</v>
      </c>
      <c r="H65" s="40">
        <v>4424.96</v>
      </c>
      <c r="I65" s="67" t="s">
        <v>126</v>
      </c>
      <c r="J65" s="67" t="s">
        <v>4</v>
      </c>
      <c r="K65" s="40">
        <v>3733.36</v>
      </c>
      <c r="L65" s="7"/>
      <c r="M65" s="7"/>
      <c r="N65" s="7"/>
      <c r="O65" s="7"/>
      <c r="P65" s="7"/>
      <c r="Q65" s="7"/>
      <c r="R65" s="7"/>
      <c r="S65" s="7"/>
      <c r="T65" s="7"/>
      <c r="U65" s="4">
        <f t="shared" si="2"/>
        <v>0</v>
      </c>
      <c r="V65" s="5"/>
      <c r="W65" s="250"/>
      <c r="X65" s="250"/>
    </row>
    <row r="66" spans="2:24" s="49" customFormat="1" ht="132">
      <c r="B66" s="312"/>
      <c r="C66" s="315"/>
      <c r="D66" s="315"/>
      <c r="E66" s="54">
        <v>7124</v>
      </c>
      <c r="F66" s="39" t="s">
        <v>133</v>
      </c>
      <c r="G66" s="40">
        <v>0</v>
      </c>
      <c r="H66" s="40">
        <v>3115.94</v>
      </c>
      <c r="I66" s="67" t="s">
        <v>126</v>
      </c>
      <c r="J66" s="67" t="s">
        <v>5</v>
      </c>
      <c r="K66" s="40">
        <v>933.34</v>
      </c>
      <c r="L66" s="7"/>
      <c r="M66" s="7"/>
      <c r="N66" s="7"/>
      <c r="O66" s="7"/>
      <c r="P66" s="7"/>
      <c r="Q66" s="7"/>
      <c r="R66" s="7"/>
      <c r="S66" s="7"/>
      <c r="T66" s="7"/>
      <c r="U66" s="4">
        <f t="shared" si="2"/>
        <v>0</v>
      </c>
      <c r="V66" s="5"/>
      <c r="W66" s="250"/>
      <c r="X66" s="250"/>
    </row>
    <row r="67" spans="2:24" ht="16.5">
      <c r="B67" s="44" t="s">
        <v>240</v>
      </c>
      <c r="C67" s="44"/>
      <c r="D67" s="44"/>
      <c r="E67" s="27">
        <f>SUM(E58:E66)</f>
        <v>255121</v>
      </c>
      <c r="F67" s="44"/>
      <c r="G67" s="27">
        <f>SUM(G58:G66)</f>
        <v>40808.6755161335</v>
      </c>
      <c r="H67" s="27">
        <f>SUM(H58:H66)</f>
        <v>39684.19</v>
      </c>
      <c r="I67" s="44"/>
      <c r="J67" s="44"/>
      <c r="K67" s="27">
        <f>SUM(K58:K66)</f>
        <v>39844.39</v>
      </c>
      <c r="L67" s="27"/>
      <c r="M67" s="27">
        <f>SUM(M58:M66)</f>
        <v>0</v>
      </c>
      <c r="N67" s="27"/>
      <c r="O67" s="27"/>
      <c r="P67" s="27"/>
      <c r="Q67" s="27"/>
      <c r="R67" s="27"/>
      <c r="S67" s="27"/>
      <c r="T67" s="27"/>
      <c r="U67" s="27">
        <f>SUM(U58:U66)</f>
        <v>0</v>
      </c>
      <c r="V67" s="44"/>
      <c r="W67" s="253"/>
      <c r="X67" s="253"/>
    </row>
    <row r="68" spans="2:24" ht="27" customHeight="1">
      <c r="B68" s="44" t="s">
        <v>297</v>
      </c>
      <c r="C68" s="44"/>
      <c r="D68" s="44"/>
      <c r="E68" s="27">
        <f>+E67+E56</f>
        <v>1035223.2654029219</v>
      </c>
      <c r="F68" s="44"/>
      <c r="G68" s="27">
        <f>+G67+G56</f>
        <v>213628.80765517807</v>
      </c>
      <c r="H68" s="27">
        <f>+H67+H56</f>
        <v>254454.98307080078</v>
      </c>
      <c r="I68" s="44"/>
      <c r="J68" s="44"/>
      <c r="K68" s="27">
        <f>+K67+K56</f>
        <v>268844.1897443679</v>
      </c>
      <c r="L68" s="27"/>
      <c r="M68" s="27">
        <f>+M67+M56</f>
        <v>0</v>
      </c>
      <c r="N68" s="27"/>
      <c r="O68" s="27"/>
      <c r="P68" s="27"/>
      <c r="Q68" s="27"/>
      <c r="R68" s="27"/>
      <c r="S68" s="27"/>
      <c r="T68" s="27"/>
      <c r="U68" s="27">
        <f>+U67+U56</f>
        <v>0</v>
      </c>
      <c r="V68" s="44"/>
      <c r="W68" s="254"/>
      <c r="X68" s="254"/>
    </row>
    <row r="69" spans="2:24" ht="26.25" customHeight="1">
      <c r="B69" s="32" t="s">
        <v>134</v>
      </c>
      <c r="C69" s="77"/>
      <c r="D69" s="77"/>
      <c r="E69" s="77"/>
      <c r="F69" s="77"/>
      <c r="G69" s="77"/>
      <c r="H69" s="77"/>
      <c r="I69" s="77"/>
      <c r="J69" s="77"/>
      <c r="K69" s="77"/>
      <c r="L69" s="77"/>
      <c r="M69" s="77"/>
      <c r="N69" s="77"/>
      <c r="O69" s="77"/>
      <c r="P69" s="77"/>
      <c r="Q69" s="77"/>
      <c r="R69" s="77"/>
      <c r="S69" s="77"/>
      <c r="T69" s="77"/>
      <c r="U69" s="77"/>
      <c r="V69" s="77"/>
      <c r="W69" s="77"/>
      <c r="X69" s="77"/>
    </row>
    <row r="70" spans="2:24" ht="22.5" customHeight="1">
      <c r="B70" s="34" t="s">
        <v>135</v>
      </c>
      <c r="C70" s="36"/>
      <c r="D70" s="36"/>
      <c r="E70" s="36"/>
      <c r="F70" s="36"/>
      <c r="G70" s="37"/>
      <c r="H70" s="78"/>
      <c r="I70" s="36"/>
      <c r="J70" s="36"/>
      <c r="K70" s="36"/>
      <c r="L70" s="36"/>
      <c r="M70" s="36"/>
      <c r="N70" s="36"/>
      <c r="O70" s="36"/>
      <c r="P70" s="36"/>
      <c r="Q70" s="36"/>
      <c r="R70" s="36"/>
      <c r="S70" s="36"/>
      <c r="T70" s="36"/>
      <c r="U70" s="36"/>
      <c r="V70" s="36"/>
      <c r="W70" s="255"/>
      <c r="X70" s="255"/>
    </row>
    <row r="71" spans="2:24" s="79" customFormat="1" ht="381.75" customHeight="1">
      <c r="B71" s="125" t="s">
        <v>136</v>
      </c>
      <c r="C71" s="125" t="s">
        <v>137</v>
      </c>
      <c r="D71" s="126" t="s">
        <v>41</v>
      </c>
      <c r="E71" s="127">
        <f>3082+2971</f>
        <v>6053</v>
      </c>
      <c r="F71" s="125" t="s">
        <v>137</v>
      </c>
      <c r="G71" s="40">
        <v>292</v>
      </c>
      <c r="H71" s="40">
        <v>881</v>
      </c>
      <c r="I71" s="130" t="s">
        <v>326</v>
      </c>
      <c r="J71" s="126" t="s">
        <v>475</v>
      </c>
      <c r="K71" s="154">
        <v>787391000</v>
      </c>
      <c r="L71" s="260"/>
      <c r="M71" s="260"/>
      <c r="N71" s="260"/>
      <c r="O71" s="154"/>
      <c r="P71" s="154"/>
      <c r="Q71" s="154"/>
      <c r="R71" s="154"/>
      <c r="S71" s="154"/>
      <c r="T71" s="154"/>
      <c r="U71" s="4">
        <f>+P71+Q71+R71+S71+T71</f>
        <v>0</v>
      </c>
      <c r="V71" s="147"/>
      <c r="W71" s="250"/>
      <c r="X71" s="250"/>
    </row>
    <row r="72" spans="2:24" s="86" customFormat="1" ht="341.25" customHeight="1">
      <c r="B72" s="136" t="s">
        <v>422</v>
      </c>
      <c r="C72" s="136" t="s">
        <v>204</v>
      </c>
      <c r="D72" s="130" t="s">
        <v>42</v>
      </c>
      <c r="E72" s="155">
        <f>16105+1257+266</f>
        <v>17628</v>
      </c>
      <c r="F72" s="136" t="s">
        <v>204</v>
      </c>
      <c r="G72" s="40">
        <v>2013</v>
      </c>
      <c r="H72" s="40">
        <v>583</v>
      </c>
      <c r="I72" s="148" t="s">
        <v>327</v>
      </c>
      <c r="J72" s="148" t="s">
        <v>476</v>
      </c>
      <c r="K72" s="154">
        <v>2540967000</v>
      </c>
      <c r="L72" s="260"/>
      <c r="M72" s="260"/>
      <c r="N72" s="260"/>
      <c r="O72" s="154"/>
      <c r="P72" s="154"/>
      <c r="Q72" s="154"/>
      <c r="R72" s="154"/>
      <c r="S72" s="154"/>
      <c r="T72" s="154"/>
      <c r="U72" s="4">
        <f>+P72+Q72+R72+S72+T72</f>
        <v>0</v>
      </c>
      <c r="V72" s="130"/>
      <c r="W72" s="250"/>
      <c r="X72" s="250"/>
    </row>
    <row r="73" spans="2:24" s="79" customFormat="1" ht="304.5" customHeight="1">
      <c r="B73" s="125" t="s">
        <v>422</v>
      </c>
      <c r="C73" s="125" t="s">
        <v>204</v>
      </c>
      <c r="D73" s="130" t="s">
        <v>43</v>
      </c>
      <c r="E73" s="127">
        <f>11147+1824</f>
        <v>12971</v>
      </c>
      <c r="F73" s="125" t="s">
        <v>204</v>
      </c>
      <c r="G73" s="40">
        <v>275</v>
      </c>
      <c r="H73" s="40">
        <v>7329</v>
      </c>
      <c r="I73" s="138" t="s">
        <v>328</v>
      </c>
      <c r="J73" s="138" t="s">
        <v>477</v>
      </c>
      <c r="K73" s="154">
        <v>11291604309</v>
      </c>
      <c r="L73" s="260"/>
      <c r="M73" s="260"/>
      <c r="N73" s="260"/>
      <c r="O73" s="154"/>
      <c r="P73" s="154"/>
      <c r="Q73" s="154"/>
      <c r="R73" s="154"/>
      <c r="S73" s="154"/>
      <c r="T73" s="154"/>
      <c r="U73" s="4">
        <f>+P73+Q73+R73+S73+T73</f>
        <v>0</v>
      </c>
      <c r="V73" s="138"/>
      <c r="W73" s="250"/>
      <c r="X73" s="250"/>
    </row>
    <row r="74" spans="2:24" s="79" customFormat="1" ht="309" customHeight="1">
      <c r="B74" s="125" t="s">
        <v>249</v>
      </c>
      <c r="C74" s="125" t="s">
        <v>250</v>
      </c>
      <c r="D74" s="126" t="s">
        <v>44</v>
      </c>
      <c r="E74" s="127">
        <v>4133</v>
      </c>
      <c r="F74" s="125" t="s">
        <v>250</v>
      </c>
      <c r="G74" s="40">
        <v>434</v>
      </c>
      <c r="H74" s="40">
        <v>455</v>
      </c>
      <c r="I74" s="139" t="s">
        <v>329</v>
      </c>
      <c r="J74" s="143" t="s">
        <v>44</v>
      </c>
      <c r="K74" s="154">
        <v>317007000</v>
      </c>
      <c r="L74" s="260"/>
      <c r="M74" s="260"/>
      <c r="N74" s="260"/>
      <c r="O74" s="154"/>
      <c r="P74" s="265"/>
      <c r="Q74" s="265"/>
      <c r="R74" s="265"/>
      <c r="S74" s="265"/>
      <c r="T74" s="265"/>
      <c r="U74" s="4">
        <f aca="true" t="shared" si="3" ref="U74:U107">+P74+Q74+R74+S74+T74</f>
        <v>0</v>
      </c>
      <c r="V74" s="156"/>
      <c r="W74" s="250"/>
      <c r="X74" s="250"/>
    </row>
    <row r="75" spans="2:24" s="79" customFormat="1" ht="363" customHeight="1">
      <c r="B75" s="125" t="s">
        <v>136</v>
      </c>
      <c r="C75" s="125" t="s">
        <v>137</v>
      </c>
      <c r="D75" s="126" t="s">
        <v>13</v>
      </c>
      <c r="E75" s="131">
        <f>3907+11835</f>
        <v>15742</v>
      </c>
      <c r="F75" s="125" t="s">
        <v>137</v>
      </c>
      <c r="G75" s="40">
        <v>0</v>
      </c>
      <c r="H75" s="40">
        <v>3710</v>
      </c>
      <c r="I75" s="140" t="s">
        <v>330</v>
      </c>
      <c r="J75" s="140" t="s">
        <v>478</v>
      </c>
      <c r="K75" s="154">
        <v>3102296000</v>
      </c>
      <c r="L75" s="260"/>
      <c r="M75" s="260"/>
      <c r="N75" s="260"/>
      <c r="O75" s="154"/>
      <c r="P75" s="154"/>
      <c r="Q75" s="154"/>
      <c r="R75" s="154"/>
      <c r="S75" s="154"/>
      <c r="T75" s="154"/>
      <c r="U75" s="4">
        <f t="shared" si="3"/>
        <v>0</v>
      </c>
      <c r="V75" s="157"/>
      <c r="W75" s="250"/>
      <c r="X75" s="250"/>
    </row>
    <row r="76" spans="2:24" s="79" customFormat="1" ht="324.75" customHeight="1">
      <c r="B76" s="125" t="s">
        <v>249</v>
      </c>
      <c r="C76" s="125" t="s">
        <v>137</v>
      </c>
      <c r="D76" s="126" t="s">
        <v>45</v>
      </c>
      <c r="E76" s="131">
        <f>994+1200</f>
        <v>2194</v>
      </c>
      <c r="F76" s="125" t="s">
        <v>137</v>
      </c>
      <c r="G76" s="40">
        <v>78</v>
      </c>
      <c r="H76" s="40">
        <v>218</v>
      </c>
      <c r="I76" s="141" t="s">
        <v>331</v>
      </c>
      <c r="J76" s="130" t="s">
        <v>479</v>
      </c>
      <c r="K76" s="154">
        <v>241370000</v>
      </c>
      <c r="L76" s="260"/>
      <c r="M76" s="260"/>
      <c r="N76" s="260"/>
      <c r="O76" s="154"/>
      <c r="P76" s="154"/>
      <c r="Q76" s="154"/>
      <c r="R76" s="154"/>
      <c r="S76" s="154"/>
      <c r="T76" s="154"/>
      <c r="U76" s="4">
        <f t="shared" si="3"/>
        <v>0</v>
      </c>
      <c r="V76" s="157"/>
      <c r="W76" s="250"/>
      <c r="X76" s="250"/>
    </row>
    <row r="77" spans="2:24" s="79" customFormat="1" ht="291" customHeight="1">
      <c r="B77" s="125" t="s">
        <v>249</v>
      </c>
      <c r="C77" s="125" t="s">
        <v>14</v>
      </c>
      <c r="D77" s="126" t="s">
        <v>45</v>
      </c>
      <c r="E77" s="127">
        <f>217+1450</f>
        <v>1667</v>
      </c>
      <c r="F77" s="125" t="s">
        <v>14</v>
      </c>
      <c r="G77" s="40">
        <v>0</v>
      </c>
      <c r="H77" s="40">
        <v>344</v>
      </c>
      <c r="I77" s="130" t="s">
        <v>332</v>
      </c>
      <c r="J77" s="130" t="s">
        <v>480</v>
      </c>
      <c r="K77" s="154">
        <v>241370000</v>
      </c>
      <c r="L77" s="260"/>
      <c r="M77" s="260"/>
      <c r="N77" s="260"/>
      <c r="O77" s="154"/>
      <c r="P77" s="154"/>
      <c r="Q77" s="154"/>
      <c r="R77" s="154"/>
      <c r="S77" s="154"/>
      <c r="T77" s="154"/>
      <c r="U77" s="4">
        <f t="shared" si="3"/>
        <v>0</v>
      </c>
      <c r="V77" s="126"/>
      <c r="W77" s="250"/>
      <c r="X77" s="250"/>
    </row>
    <row r="78" spans="2:24" s="79" customFormat="1" ht="240.75" customHeight="1">
      <c r="B78" s="125" t="s">
        <v>249</v>
      </c>
      <c r="C78" s="125" t="s">
        <v>15</v>
      </c>
      <c r="D78" s="126" t="s">
        <v>46</v>
      </c>
      <c r="E78" s="127">
        <v>6961</v>
      </c>
      <c r="F78" s="125" t="s">
        <v>15</v>
      </c>
      <c r="G78" s="40">
        <v>420</v>
      </c>
      <c r="H78" s="40">
        <v>1195</v>
      </c>
      <c r="I78" s="142" t="s">
        <v>333</v>
      </c>
      <c r="J78" s="142" t="s">
        <v>481</v>
      </c>
      <c r="K78" s="154">
        <f>1735897000-K79</f>
        <v>1715734000</v>
      </c>
      <c r="L78" s="260"/>
      <c r="M78" s="260"/>
      <c r="N78" s="260"/>
      <c r="O78" s="154"/>
      <c r="P78" s="154"/>
      <c r="Q78" s="154"/>
      <c r="R78" s="154"/>
      <c r="S78" s="154"/>
      <c r="T78" s="154"/>
      <c r="U78" s="4">
        <f t="shared" si="3"/>
        <v>0</v>
      </c>
      <c r="V78" s="142"/>
      <c r="W78" s="250"/>
      <c r="X78" s="250"/>
    </row>
    <row r="79" spans="2:24" s="79" customFormat="1" ht="216.75">
      <c r="B79" s="125" t="s">
        <v>249</v>
      </c>
      <c r="C79" s="125" t="s">
        <v>15</v>
      </c>
      <c r="D79" s="130" t="s">
        <v>310</v>
      </c>
      <c r="E79" s="127">
        <f>69+2212+128</f>
        <v>2409</v>
      </c>
      <c r="F79" s="125" t="s">
        <v>15</v>
      </c>
      <c r="G79" s="40">
        <v>0</v>
      </c>
      <c r="H79" s="40">
        <v>563</v>
      </c>
      <c r="I79" s="142" t="s">
        <v>334</v>
      </c>
      <c r="J79" s="142" t="s">
        <v>482</v>
      </c>
      <c r="K79" s="154">
        <v>20163000</v>
      </c>
      <c r="L79" s="260"/>
      <c r="M79" s="260"/>
      <c r="N79" s="260"/>
      <c r="O79" s="154"/>
      <c r="P79" s="154"/>
      <c r="Q79" s="154"/>
      <c r="R79" s="154"/>
      <c r="S79" s="154"/>
      <c r="T79" s="154"/>
      <c r="U79" s="4">
        <f t="shared" si="3"/>
        <v>0</v>
      </c>
      <c r="V79" s="142"/>
      <c r="W79" s="250"/>
      <c r="X79" s="250"/>
    </row>
    <row r="80" spans="2:24" s="79" customFormat="1" ht="168" customHeight="1">
      <c r="B80" s="125" t="s">
        <v>249</v>
      </c>
      <c r="C80" s="125" t="s">
        <v>15</v>
      </c>
      <c r="D80" s="126" t="s">
        <v>311</v>
      </c>
      <c r="E80" s="127">
        <v>1819</v>
      </c>
      <c r="F80" s="125" t="s">
        <v>15</v>
      </c>
      <c r="G80" s="40">
        <v>105</v>
      </c>
      <c r="H80" s="40">
        <v>308</v>
      </c>
      <c r="I80" s="142" t="s">
        <v>378</v>
      </c>
      <c r="J80" s="142" t="s">
        <v>483</v>
      </c>
      <c r="K80" s="154">
        <v>345964000</v>
      </c>
      <c r="L80" s="260"/>
      <c r="M80" s="260"/>
      <c r="N80" s="260"/>
      <c r="O80" s="154"/>
      <c r="P80" s="154"/>
      <c r="Q80" s="154"/>
      <c r="R80" s="154"/>
      <c r="S80" s="154"/>
      <c r="T80" s="154"/>
      <c r="U80" s="4">
        <f t="shared" si="3"/>
        <v>0</v>
      </c>
      <c r="V80" s="142"/>
      <c r="W80" s="250"/>
      <c r="X80" s="250"/>
    </row>
    <row r="81" spans="2:24" s="79" customFormat="1" ht="173.25" customHeight="1">
      <c r="B81" s="126" t="s">
        <v>16</v>
      </c>
      <c r="C81" s="132" t="s">
        <v>312</v>
      </c>
      <c r="D81" s="126" t="s">
        <v>313</v>
      </c>
      <c r="E81" s="128">
        <v>227045</v>
      </c>
      <c r="F81" s="132" t="s">
        <v>312</v>
      </c>
      <c r="G81" s="40">
        <v>24127</v>
      </c>
      <c r="H81" s="40">
        <f>72583+399</f>
        <v>72982</v>
      </c>
      <c r="I81" s="126" t="s">
        <v>379</v>
      </c>
      <c r="J81" s="126" t="s">
        <v>484</v>
      </c>
      <c r="K81" s="154">
        <v>74328000000</v>
      </c>
      <c r="L81" s="260"/>
      <c r="M81" s="260"/>
      <c r="N81" s="260"/>
      <c r="O81" s="154"/>
      <c r="P81" s="154"/>
      <c r="Q81" s="154"/>
      <c r="R81" s="154"/>
      <c r="S81" s="154"/>
      <c r="T81" s="154"/>
      <c r="U81" s="4">
        <f t="shared" si="3"/>
        <v>0</v>
      </c>
      <c r="V81" s="149"/>
      <c r="W81" s="250"/>
      <c r="X81" s="250"/>
    </row>
    <row r="82" spans="2:24" s="79" customFormat="1" ht="144" customHeight="1">
      <c r="B82" s="126" t="s">
        <v>16</v>
      </c>
      <c r="C82" s="132" t="s">
        <v>312</v>
      </c>
      <c r="D82" s="126" t="s">
        <v>314</v>
      </c>
      <c r="E82" s="128">
        <v>15599.2739091035</v>
      </c>
      <c r="F82" s="132" t="s">
        <v>312</v>
      </c>
      <c r="G82" s="40">
        <v>640</v>
      </c>
      <c r="H82" s="40">
        <v>1471</v>
      </c>
      <c r="I82" s="126" t="s">
        <v>380</v>
      </c>
      <c r="J82" s="126" t="s">
        <v>485</v>
      </c>
      <c r="K82" s="154">
        <v>751870000</v>
      </c>
      <c r="L82" s="260"/>
      <c r="M82" s="260"/>
      <c r="N82" s="260"/>
      <c r="O82" s="154"/>
      <c r="P82" s="154"/>
      <c r="Q82" s="154"/>
      <c r="R82" s="154"/>
      <c r="S82" s="154"/>
      <c r="T82" s="154"/>
      <c r="U82" s="4">
        <f t="shared" si="3"/>
        <v>0</v>
      </c>
      <c r="V82" s="150"/>
      <c r="W82" s="250"/>
      <c r="X82" s="250"/>
    </row>
    <row r="83" spans="2:24" s="79" customFormat="1" ht="357" customHeight="1">
      <c r="B83" s="125" t="s">
        <v>249</v>
      </c>
      <c r="C83" s="125" t="s">
        <v>17</v>
      </c>
      <c r="D83" s="126" t="s">
        <v>18</v>
      </c>
      <c r="E83" s="128">
        <v>27221</v>
      </c>
      <c r="F83" s="125" t="s">
        <v>17</v>
      </c>
      <c r="G83" s="40">
        <v>4891</v>
      </c>
      <c r="H83" s="40">
        <v>16526</v>
      </c>
      <c r="I83" s="133" t="s">
        <v>381</v>
      </c>
      <c r="J83" s="133" t="s">
        <v>486</v>
      </c>
      <c r="K83" s="154">
        <v>13720000000</v>
      </c>
      <c r="L83" s="260"/>
      <c r="M83" s="260"/>
      <c r="N83" s="260"/>
      <c r="O83" s="154"/>
      <c r="P83" s="154"/>
      <c r="Q83" s="154"/>
      <c r="R83" s="154"/>
      <c r="S83" s="154"/>
      <c r="T83" s="154"/>
      <c r="U83" s="4">
        <f t="shared" si="3"/>
        <v>0</v>
      </c>
      <c r="V83" s="133"/>
      <c r="W83" s="250"/>
      <c r="X83" s="250"/>
    </row>
    <row r="84" spans="2:24" s="79" customFormat="1" ht="268.5" customHeight="1">
      <c r="B84" s="125" t="s">
        <v>249</v>
      </c>
      <c r="C84" s="125" t="s">
        <v>250</v>
      </c>
      <c r="D84" s="126" t="s">
        <v>41</v>
      </c>
      <c r="E84" s="127">
        <f>0+1240+1404</f>
        <v>2644</v>
      </c>
      <c r="F84" s="125" t="s">
        <v>250</v>
      </c>
      <c r="G84" s="40">
        <v>222</v>
      </c>
      <c r="H84" s="40">
        <v>421</v>
      </c>
      <c r="I84" s="133" t="s">
        <v>431</v>
      </c>
      <c r="J84" s="133" t="s">
        <v>487</v>
      </c>
      <c r="K84" s="154">
        <v>221438000</v>
      </c>
      <c r="L84" s="260"/>
      <c r="M84" s="260"/>
      <c r="N84" s="260"/>
      <c r="O84" s="154"/>
      <c r="P84" s="154"/>
      <c r="Q84" s="154"/>
      <c r="R84" s="154"/>
      <c r="S84" s="154"/>
      <c r="T84" s="154"/>
      <c r="U84" s="4">
        <f t="shared" si="3"/>
        <v>0</v>
      </c>
      <c r="V84" s="159"/>
      <c r="W84" s="250"/>
      <c r="X84" s="250"/>
    </row>
    <row r="85" spans="2:24" s="79" customFormat="1" ht="295.5" customHeight="1">
      <c r="B85" s="125" t="s">
        <v>249</v>
      </c>
      <c r="C85" s="125" t="s">
        <v>137</v>
      </c>
      <c r="D85" s="126" t="s">
        <v>315</v>
      </c>
      <c r="E85" s="131">
        <f>2762+5543</f>
        <v>8305</v>
      </c>
      <c r="F85" s="125" t="s">
        <v>137</v>
      </c>
      <c r="G85" s="40">
        <v>83</v>
      </c>
      <c r="H85" s="40">
        <v>881</v>
      </c>
      <c r="I85" s="143" t="s">
        <v>432</v>
      </c>
      <c r="J85" s="143" t="s">
        <v>315</v>
      </c>
      <c r="K85" s="154">
        <v>787391000</v>
      </c>
      <c r="L85" s="260"/>
      <c r="M85" s="260"/>
      <c r="N85" s="260"/>
      <c r="O85" s="154"/>
      <c r="P85" s="154"/>
      <c r="Q85" s="154"/>
      <c r="R85" s="154"/>
      <c r="S85" s="154"/>
      <c r="T85" s="154"/>
      <c r="U85" s="4">
        <f t="shared" si="3"/>
        <v>0</v>
      </c>
      <c r="V85" s="151"/>
      <c r="W85" s="250"/>
      <c r="X85" s="250"/>
    </row>
    <row r="86" spans="2:24" s="79" customFormat="1" ht="174" customHeight="1">
      <c r="B86" s="125" t="s">
        <v>249</v>
      </c>
      <c r="C86" s="125" t="s">
        <v>250</v>
      </c>
      <c r="D86" s="126" t="s">
        <v>315</v>
      </c>
      <c r="E86" s="127">
        <f>1240+3364</f>
        <v>4604</v>
      </c>
      <c r="F86" s="125" t="s">
        <v>250</v>
      </c>
      <c r="G86" s="40">
        <v>440</v>
      </c>
      <c r="H86" s="40">
        <v>683</v>
      </c>
      <c r="I86" s="143" t="s">
        <v>433</v>
      </c>
      <c r="J86" s="143" t="s">
        <v>315</v>
      </c>
      <c r="K86" s="154">
        <v>348128000</v>
      </c>
      <c r="L86" s="260"/>
      <c r="M86" s="260"/>
      <c r="N86" s="260"/>
      <c r="O86" s="154"/>
      <c r="P86" s="154"/>
      <c r="Q86" s="154"/>
      <c r="R86" s="154"/>
      <c r="S86" s="154"/>
      <c r="T86" s="154"/>
      <c r="U86" s="4">
        <f t="shared" si="3"/>
        <v>0</v>
      </c>
      <c r="V86" s="160"/>
      <c r="W86" s="250"/>
      <c r="X86" s="250"/>
    </row>
    <row r="87" spans="2:24" s="79" customFormat="1" ht="245.25" customHeight="1">
      <c r="B87" s="125" t="s">
        <v>249</v>
      </c>
      <c r="C87" s="125" t="s">
        <v>199</v>
      </c>
      <c r="D87" s="126" t="s">
        <v>316</v>
      </c>
      <c r="E87" s="127">
        <f>1317+1356+1248+1317</f>
        <v>5238</v>
      </c>
      <c r="F87" s="125" t="s">
        <v>199</v>
      </c>
      <c r="G87" s="40">
        <v>196</v>
      </c>
      <c r="H87" s="40">
        <v>1330</v>
      </c>
      <c r="I87" s="143" t="s">
        <v>434</v>
      </c>
      <c r="J87" s="143" t="s">
        <v>497</v>
      </c>
      <c r="K87" s="154">
        <v>20616000</v>
      </c>
      <c r="L87" s="260"/>
      <c r="M87" s="260"/>
      <c r="N87" s="260"/>
      <c r="O87" s="154"/>
      <c r="P87" s="154"/>
      <c r="Q87" s="154"/>
      <c r="R87" s="154"/>
      <c r="S87" s="154"/>
      <c r="T87" s="154"/>
      <c r="U87" s="4">
        <f t="shared" si="3"/>
        <v>0</v>
      </c>
      <c r="V87" s="158"/>
      <c r="W87" s="250"/>
      <c r="X87" s="250"/>
    </row>
    <row r="88" spans="2:24" s="79" customFormat="1" ht="287.25" customHeight="1">
      <c r="B88" s="125" t="s">
        <v>422</v>
      </c>
      <c r="C88" s="125" t="s">
        <v>204</v>
      </c>
      <c r="D88" s="126" t="s">
        <v>248</v>
      </c>
      <c r="E88" s="127">
        <f>0+31387+8194+3760+2326</f>
        <v>45667</v>
      </c>
      <c r="F88" s="125" t="s">
        <v>204</v>
      </c>
      <c r="G88" s="40">
        <v>3291</v>
      </c>
      <c r="H88" s="40">
        <v>8300</v>
      </c>
      <c r="I88" s="143" t="s">
        <v>435</v>
      </c>
      <c r="J88" s="143" t="s">
        <v>498</v>
      </c>
      <c r="K88" s="154">
        <v>8667428691</v>
      </c>
      <c r="L88" s="260"/>
      <c r="M88" s="260"/>
      <c r="N88" s="260"/>
      <c r="O88" s="154"/>
      <c r="P88" s="154"/>
      <c r="Q88" s="154"/>
      <c r="R88" s="154"/>
      <c r="S88" s="154"/>
      <c r="T88" s="154"/>
      <c r="U88" s="4">
        <f t="shared" si="3"/>
        <v>0</v>
      </c>
      <c r="V88" s="143"/>
      <c r="W88" s="250"/>
      <c r="X88" s="250"/>
    </row>
    <row r="89" spans="2:24" s="79" customFormat="1" ht="142.5" customHeight="1">
      <c r="B89" s="125" t="s">
        <v>249</v>
      </c>
      <c r="C89" s="125" t="s">
        <v>137</v>
      </c>
      <c r="D89" s="126" t="s">
        <v>317</v>
      </c>
      <c r="E89" s="131">
        <f>1265+1481+8294+3006+1008+5358+706+3953+3041+6730+7792+5872+5486+7508+1601+944+1172+2494+567+209+253+46+1592</f>
        <v>70378</v>
      </c>
      <c r="F89" s="125" t="s">
        <v>137</v>
      </c>
      <c r="G89" s="40">
        <v>4989</v>
      </c>
      <c r="H89" s="153">
        <v>9150</v>
      </c>
      <c r="I89" s="143" t="s">
        <v>436</v>
      </c>
      <c r="J89" s="143" t="s">
        <v>441</v>
      </c>
      <c r="K89" s="154">
        <v>6519136000</v>
      </c>
      <c r="L89" s="260"/>
      <c r="M89" s="260"/>
      <c r="N89" s="260"/>
      <c r="O89" s="154"/>
      <c r="P89" s="154"/>
      <c r="Q89" s="154"/>
      <c r="R89" s="154"/>
      <c r="S89" s="154"/>
      <c r="T89" s="154"/>
      <c r="U89" s="4">
        <f t="shared" si="3"/>
        <v>0</v>
      </c>
      <c r="V89" s="143"/>
      <c r="W89" s="250"/>
      <c r="X89" s="250"/>
    </row>
    <row r="90" spans="2:24" s="79" customFormat="1" ht="360.75" customHeight="1">
      <c r="B90" s="125" t="s">
        <v>249</v>
      </c>
      <c r="C90" s="125" t="s">
        <v>137</v>
      </c>
      <c r="D90" s="126" t="s">
        <v>251</v>
      </c>
      <c r="E90" s="131">
        <v>8213</v>
      </c>
      <c r="F90" s="125" t="s">
        <v>137</v>
      </c>
      <c r="G90" s="40">
        <v>339</v>
      </c>
      <c r="H90" s="40">
        <v>1348</v>
      </c>
      <c r="I90" s="143" t="s">
        <v>437</v>
      </c>
      <c r="J90" s="143" t="s">
        <v>44</v>
      </c>
      <c r="K90" s="154">
        <v>921688000</v>
      </c>
      <c r="L90" s="260"/>
      <c r="M90" s="260"/>
      <c r="N90" s="260"/>
      <c r="O90" s="154"/>
      <c r="P90" s="265"/>
      <c r="Q90" s="265"/>
      <c r="R90" s="265"/>
      <c r="S90" s="265"/>
      <c r="T90" s="265"/>
      <c r="U90" s="4">
        <f t="shared" si="3"/>
        <v>0</v>
      </c>
      <c r="V90" s="143"/>
      <c r="W90" s="250"/>
      <c r="X90" s="250"/>
    </row>
    <row r="91" spans="2:24" s="79" customFormat="1" ht="143.25" customHeight="1">
      <c r="B91" s="125" t="s">
        <v>249</v>
      </c>
      <c r="C91" s="125" t="s">
        <v>137</v>
      </c>
      <c r="D91" s="126" t="s">
        <v>8</v>
      </c>
      <c r="E91" s="134">
        <v>19587</v>
      </c>
      <c r="F91" s="125" t="s">
        <v>137</v>
      </c>
      <c r="G91" s="40">
        <v>810</v>
      </c>
      <c r="H91" s="40">
        <v>2683</v>
      </c>
      <c r="I91" s="126" t="s">
        <v>438</v>
      </c>
      <c r="J91" s="126" t="s">
        <v>442</v>
      </c>
      <c r="K91" s="154">
        <v>690268278.64073</v>
      </c>
      <c r="L91" s="260"/>
      <c r="M91" s="260"/>
      <c r="N91" s="260"/>
      <c r="O91" s="154"/>
      <c r="P91" s="154"/>
      <c r="Q91" s="154"/>
      <c r="R91" s="154"/>
      <c r="S91" s="154"/>
      <c r="T91" s="154"/>
      <c r="U91" s="4">
        <f t="shared" si="3"/>
        <v>0</v>
      </c>
      <c r="V91" s="143"/>
      <c r="W91" s="250"/>
      <c r="X91" s="250"/>
    </row>
    <row r="92" spans="2:24" s="79" customFormat="1" ht="89.25">
      <c r="B92" s="125" t="s">
        <v>249</v>
      </c>
      <c r="C92" s="125" t="s">
        <v>250</v>
      </c>
      <c r="D92" s="126" t="s">
        <v>9</v>
      </c>
      <c r="E92" s="127">
        <f>0+1329+358+137</f>
        <v>1824</v>
      </c>
      <c r="F92" s="125" t="s">
        <v>250</v>
      </c>
      <c r="G92" s="40">
        <v>121</v>
      </c>
      <c r="H92" s="40">
        <v>192</v>
      </c>
      <c r="I92" s="144" t="s">
        <v>439</v>
      </c>
      <c r="J92" s="144" t="s">
        <v>443</v>
      </c>
      <c r="K92" s="154">
        <v>446466000</v>
      </c>
      <c r="L92" s="260"/>
      <c r="M92" s="260"/>
      <c r="N92" s="260"/>
      <c r="O92" s="154"/>
      <c r="P92" s="154"/>
      <c r="Q92" s="154"/>
      <c r="R92" s="154"/>
      <c r="S92" s="154"/>
      <c r="T92" s="154"/>
      <c r="U92" s="4">
        <f t="shared" si="3"/>
        <v>0</v>
      </c>
      <c r="V92" s="144"/>
      <c r="W92" s="250"/>
      <c r="X92" s="250"/>
    </row>
    <row r="93" spans="2:24" s="79" customFormat="1" ht="199.5" customHeight="1">
      <c r="B93" s="125" t="s">
        <v>136</v>
      </c>
      <c r="C93" s="125" t="s">
        <v>137</v>
      </c>
      <c r="D93" s="130" t="s">
        <v>318</v>
      </c>
      <c r="E93" s="131">
        <v>5882</v>
      </c>
      <c r="F93" s="125" t="s">
        <v>137</v>
      </c>
      <c r="G93" s="40">
        <v>228</v>
      </c>
      <c r="H93" s="40">
        <v>769</v>
      </c>
      <c r="I93" s="129" t="s">
        <v>440</v>
      </c>
      <c r="J93" s="130" t="s">
        <v>444</v>
      </c>
      <c r="K93" s="154">
        <v>836771000</v>
      </c>
      <c r="L93" s="260"/>
      <c r="M93" s="260"/>
      <c r="N93" s="260"/>
      <c r="O93" s="154"/>
      <c r="P93" s="154"/>
      <c r="Q93" s="154"/>
      <c r="R93" s="154"/>
      <c r="S93" s="154"/>
      <c r="T93" s="154"/>
      <c r="U93" s="4">
        <f t="shared" si="3"/>
        <v>0</v>
      </c>
      <c r="V93" s="151"/>
      <c r="W93" s="250"/>
      <c r="X93" s="250"/>
    </row>
    <row r="94" spans="2:24" s="79" customFormat="1" ht="204.75" customHeight="1">
      <c r="B94" s="125" t="s">
        <v>136</v>
      </c>
      <c r="C94" s="125" t="s">
        <v>137</v>
      </c>
      <c r="D94" s="126" t="s">
        <v>10</v>
      </c>
      <c r="E94" s="131">
        <v>1040</v>
      </c>
      <c r="F94" s="125" t="s">
        <v>137</v>
      </c>
      <c r="G94" s="40">
        <v>33</v>
      </c>
      <c r="H94" s="40">
        <v>82</v>
      </c>
      <c r="I94" s="145" t="s">
        <v>462</v>
      </c>
      <c r="J94" s="126" t="s">
        <v>445</v>
      </c>
      <c r="K94" s="154">
        <v>270100000</v>
      </c>
      <c r="L94" s="260"/>
      <c r="M94" s="260"/>
      <c r="N94" s="260"/>
      <c r="O94" s="154"/>
      <c r="P94" s="154"/>
      <c r="Q94" s="154"/>
      <c r="R94" s="154"/>
      <c r="S94" s="154"/>
      <c r="T94" s="154"/>
      <c r="U94" s="4">
        <f t="shared" si="3"/>
        <v>0</v>
      </c>
      <c r="V94" s="143"/>
      <c r="W94" s="250"/>
      <c r="X94" s="250"/>
    </row>
    <row r="95" spans="2:24" s="79" customFormat="1" ht="295.5" customHeight="1">
      <c r="B95" s="125" t="s">
        <v>136</v>
      </c>
      <c r="C95" s="125" t="s">
        <v>250</v>
      </c>
      <c r="D95" s="126" t="s">
        <v>10</v>
      </c>
      <c r="E95" s="135">
        <f>2337+922+4788+301</f>
        <v>8348</v>
      </c>
      <c r="F95" s="125" t="s">
        <v>250</v>
      </c>
      <c r="G95" s="40">
        <v>678</v>
      </c>
      <c r="H95" s="40">
        <v>1205</v>
      </c>
      <c r="I95" s="126" t="s">
        <v>463</v>
      </c>
      <c r="J95" s="126" t="s">
        <v>445</v>
      </c>
      <c r="K95" s="154">
        <v>1419616000</v>
      </c>
      <c r="L95" s="260"/>
      <c r="M95" s="260"/>
      <c r="N95" s="260"/>
      <c r="O95" s="154"/>
      <c r="P95" s="154"/>
      <c r="Q95" s="154"/>
      <c r="R95" s="154"/>
      <c r="S95" s="154"/>
      <c r="T95" s="154"/>
      <c r="U95" s="4">
        <f t="shared" si="3"/>
        <v>0</v>
      </c>
      <c r="V95" s="143"/>
      <c r="W95" s="250"/>
      <c r="X95" s="250"/>
    </row>
    <row r="96" spans="2:24" s="86" customFormat="1" ht="181.5" customHeight="1">
      <c r="B96" s="136" t="s">
        <v>136</v>
      </c>
      <c r="C96" s="136" t="s">
        <v>14</v>
      </c>
      <c r="D96" s="130" t="s">
        <v>319</v>
      </c>
      <c r="E96" s="155">
        <v>2901</v>
      </c>
      <c r="F96" s="136" t="s">
        <v>14</v>
      </c>
      <c r="G96" s="40">
        <v>0</v>
      </c>
      <c r="H96" s="40">
        <v>835</v>
      </c>
      <c r="I96" s="130" t="s">
        <v>464</v>
      </c>
      <c r="J96" s="130" t="s">
        <v>446</v>
      </c>
      <c r="K96" s="154">
        <v>289000000</v>
      </c>
      <c r="L96" s="260"/>
      <c r="M96" s="260"/>
      <c r="N96" s="260"/>
      <c r="O96" s="154"/>
      <c r="P96" s="154"/>
      <c r="Q96" s="154"/>
      <c r="R96" s="154"/>
      <c r="S96" s="154"/>
      <c r="T96" s="154"/>
      <c r="U96" s="4">
        <f t="shared" si="3"/>
        <v>0</v>
      </c>
      <c r="V96" s="151"/>
      <c r="W96" s="250"/>
      <c r="X96" s="250"/>
    </row>
    <row r="97" spans="2:24" s="79" customFormat="1" ht="390.75" customHeight="1">
      <c r="B97" s="125" t="s">
        <v>136</v>
      </c>
      <c r="C97" s="125" t="s">
        <v>14</v>
      </c>
      <c r="D97" s="126" t="s">
        <v>10</v>
      </c>
      <c r="E97" s="127">
        <f>4342+1439</f>
        <v>5781</v>
      </c>
      <c r="F97" s="125" t="s">
        <v>14</v>
      </c>
      <c r="G97" s="40">
        <v>389</v>
      </c>
      <c r="H97" s="40">
        <v>1079</v>
      </c>
      <c r="I97" s="126" t="s">
        <v>465</v>
      </c>
      <c r="J97" s="126" t="s">
        <v>445</v>
      </c>
      <c r="K97" s="154">
        <v>540008000</v>
      </c>
      <c r="L97" s="260"/>
      <c r="M97" s="260"/>
      <c r="N97" s="260"/>
      <c r="O97" s="154"/>
      <c r="P97" s="154"/>
      <c r="Q97" s="154"/>
      <c r="R97" s="154"/>
      <c r="S97" s="154"/>
      <c r="T97" s="154"/>
      <c r="U97" s="4">
        <f t="shared" si="3"/>
        <v>0</v>
      </c>
      <c r="V97" s="151"/>
      <c r="W97" s="250"/>
      <c r="X97" s="250"/>
    </row>
    <row r="98" spans="2:24" s="86" customFormat="1" ht="172.5" customHeight="1">
      <c r="B98" s="136" t="s">
        <v>136</v>
      </c>
      <c r="C98" s="136" t="s">
        <v>284</v>
      </c>
      <c r="D98" s="130" t="s">
        <v>13</v>
      </c>
      <c r="E98" s="155">
        <f>0+989</f>
        <v>989</v>
      </c>
      <c r="F98" s="136" t="s">
        <v>284</v>
      </c>
      <c r="G98" s="40">
        <v>126</v>
      </c>
      <c r="H98" s="40">
        <v>271</v>
      </c>
      <c r="I98" s="161" t="s">
        <v>466</v>
      </c>
      <c r="J98" s="162" t="s">
        <v>447</v>
      </c>
      <c r="K98" s="154">
        <v>1816357900</v>
      </c>
      <c r="L98" s="260"/>
      <c r="M98" s="260"/>
      <c r="N98" s="260"/>
      <c r="O98" s="154"/>
      <c r="P98" s="154"/>
      <c r="Q98" s="154"/>
      <c r="R98" s="154"/>
      <c r="S98" s="154"/>
      <c r="T98" s="154"/>
      <c r="U98" s="4">
        <f t="shared" si="3"/>
        <v>0</v>
      </c>
      <c r="V98" s="151"/>
      <c r="W98" s="250"/>
      <c r="X98" s="250"/>
    </row>
    <row r="99" spans="2:24" s="86" customFormat="1" ht="144" customHeight="1">
      <c r="B99" s="136" t="s">
        <v>249</v>
      </c>
      <c r="C99" s="136" t="s">
        <v>250</v>
      </c>
      <c r="D99" s="130" t="s">
        <v>319</v>
      </c>
      <c r="E99" s="155">
        <f>0+206+2901-2901</f>
        <v>206</v>
      </c>
      <c r="F99" s="136" t="s">
        <v>250</v>
      </c>
      <c r="G99" s="40">
        <v>18</v>
      </c>
      <c r="H99" s="40">
        <f>1015-429-406</f>
        <v>180</v>
      </c>
      <c r="I99" s="163" t="s">
        <v>467</v>
      </c>
      <c r="J99" s="163" t="s">
        <v>446</v>
      </c>
      <c r="K99" s="154">
        <v>141682000</v>
      </c>
      <c r="L99" s="260"/>
      <c r="M99" s="260"/>
      <c r="N99" s="260"/>
      <c r="O99" s="154"/>
      <c r="P99" s="154"/>
      <c r="Q99" s="154"/>
      <c r="R99" s="154"/>
      <c r="S99" s="154"/>
      <c r="T99" s="154"/>
      <c r="U99" s="4">
        <f t="shared" si="3"/>
        <v>0</v>
      </c>
      <c r="V99" s="151"/>
      <c r="W99" s="250"/>
      <c r="X99" s="250"/>
    </row>
    <row r="100" spans="2:24" s="79" customFormat="1" ht="156" customHeight="1">
      <c r="B100" s="136" t="s">
        <v>249</v>
      </c>
      <c r="C100" s="136" t="s">
        <v>250</v>
      </c>
      <c r="D100" s="130" t="s">
        <v>320</v>
      </c>
      <c r="E100" s="127">
        <f>0+645+645</f>
        <v>1290</v>
      </c>
      <c r="F100" s="136" t="s">
        <v>250</v>
      </c>
      <c r="G100" s="40">
        <v>116</v>
      </c>
      <c r="H100" s="40">
        <v>240</v>
      </c>
      <c r="I100" s="130" t="s">
        <v>468</v>
      </c>
      <c r="J100" s="130" t="s">
        <v>454</v>
      </c>
      <c r="K100" s="154">
        <v>117075000</v>
      </c>
      <c r="L100" s="260"/>
      <c r="M100" s="260"/>
      <c r="N100" s="260"/>
      <c r="O100" s="154"/>
      <c r="P100" s="154"/>
      <c r="Q100" s="154"/>
      <c r="R100" s="154"/>
      <c r="S100" s="154"/>
      <c r="T100" s="154"/>
      <c r="U100" s="4">
        <f t="shared" si="3"/>
        <v>0</v>
      </c>
      <c r="V100" s="152"/>
      <c r="W100" s="250"/>
      <c r="X100" s="250"/>
    </row>
    <row r="101" spans="2:24" s="79" customFormat="1" ht="312" customHeight="1">
      <c r="B101" s="125" t="s">
        <v>249</v>
      </c>
      <c r="C101" s="125" t="s">
        <v>137</v>
      </c>
      <c r="D101" s="126" t="s">
        <v>321</v>
      </c>
      <c r="E101" s="131">
        <v>6076</v>
      </c>
      <c r="F101" s="125" t="s">
        <v>137</v>
      </c>
      <c r="G101" s="40">
        <v>65</v>
      </c>
      <c r="H101" s="40">
        <v>382</v>
      </c>
      <c r="I101" s="129" t="s">
        <v>469</v>
      </c>
      <c r="J101" s="126" t="s">
        <v>455</v>
      </c>
      <c r="K101" s="154">
        <v>283747000</v>
      </c>
      <c r="L101" s="260"/>
      <c r="M101" s="260"/>
      <c r="N101" s="260"/>
      <c r="O101" s="154"/>
      <c r="P101" s="154"/>
      <c r="Q101" s="154"/>
      <c r="R101" s="154"/>
      <c r="S101" s="154"/>
      <c r="T101" s="154"/>
      <c r="U101" s="4">
        <f t="shared" si="3"/>
        <v>0</v>
      </c>
      <c r="V101" s="143"/>
      <c r="W101" s="250"/>
      <c r="X101" s="250"/>
    </row>
    <row r="102" spans="2:24" s="79" customFormat="1" ht="336.75" customHeight="1">
      <c r="B102" s="125" t="s">
        <v>249</v>
      </c>
      <c r="C102" s="125" t="s">
        <v>15</v>
      </c>
      <c r="D102" s="126" t="s">
        <v>322</v>
      </c>
      <c r="E102" s="127">
        <v>1351</v>
      </c>
      <c r="F102" s="125" t="s">
        <v>15</v>
      </c>
      <c r="G102" s="40">
        <v>62</v>
      </c>
      <c r="H102" s="40">
        <v>296</v>
      </c>
      <c r="I102" s="129" t="s">
        <v>470</v>
      </c>
      <c r="J102" s="126" t="s">
        <v>456</v>
      </c>
      <c r="K102" s="154">
        <v>300968000</v>
      </c>
      <c r="L102" s="260"/>
      <c r="M102" s="260"/>
      <c r="N102" s="260"/>
      <c r="O102" s="154"/>
      <c r="P102" s="154"/>
      <c r="Q102" s="154"/>
      <c r="R102" s="154"/>
      <c r="S102" s="154"/>
      <c r="T102" s="154"/>
      <c r="U102" s="4">
        <f t="shared" si="3"/>
        <v>0</v>
      </c>
      <c r="V102" s="143"/>
      <c r="W102" s="250"/>
      <c r="X102" s="250"/>
    </row>
    <row r="103" spans="2:24" s="79" customFormat="1" ht="288.75" customHeight="1">
      <c r="B103" s="125" t="s">
        <v>249</v>
      </c>
      <c r="C103" s="125" t="s">
        <v>258</v>
      </c>
      <c r="D103" s="130" t="s">
        <v>323</v>
      </c>
      <c r="E103" s="127">
        <v>622.1873933726738</v>
      </c>
      <c r="F103" s="125" t="s">
        <v>258</v>
      </c>
      <c r="G103" s="40">
        <v>0</v>
      </c>
      <c r="H103" s="40">
        <v>0</v>
      </c>
      <c r="I103" s="146"/>
      <c r="J103" s="130" t="s">
        <v>457</v>
      </c>
      <c r="K103" s="154">
        <v>0</v>
      </c>
      <c r="L103" s="260"/>
      <c r="M103" s="260"/>
      <c r="N103" s="260"/>
      <c r="O103" s="154"/>
      <c r="P103" s="154"/>
      <c r="Q103" s="154"/>
      <c r="R103" s="154"/>
      <c r="S103" s="154"/>
      <c r="T103" s="154"/>
      <c r="U103" s="4">
        <f t="shared" si="3"/>
        <v>0</v>
      </c>
      <c r="V103" s="151"/>
      <c r="W103" s="250"/>
      <c r="X103" s="250"/>
    </row>
    <row r="104" spans="2:24" s="79" customFormat="1" ht="232.5" customHeight="1">
      <c r="B104" s="125" t="s">
        <v>249</v>
      </c>
      <c r="C104" s="125" t="s">
        <v>258</v>
      </c>
      <c r="D104" s="126" t="s">
        <v>7</v>
      </c>
      <c r="E104" s="127">
        <v>27230</v>
      </c>
      <c r="F104" s="125" t="s">
        <v>258</v>
      </c>
      <c r="G104" s="40">
        <v>2935</v>
      </c>
      <c r="H104" s="40">
        <v>0</v>
      </c>
      <c r="I104" s="126" t="s">
        <v>471</v>
      </c>
      <c r="J104" s="126" t="s">
        <v>458</v>
      </c>
      <c r="K104" s="154">
        <v>1816357900</v>
      </c>
      <c r="L104" s="260"/>
      <c r="M104" s="260"/>
      <c r="N104" s="260"/>
      <c r="O104" s="154"/>
      <c r="P104" s="154"/>
      <c r="Q104" s="154"/>
      <c r="R104" s="154"/>
      <c r="S104" s="154"/>
      <c r="T104" s="154"/>
      <c r="U104" s="4">
        <f t="shared" si="3"/>
        <v>0</v>
      </c>
      <c r="V104" s="143"/>
      <c r="W104" s="250"/>
      <c r="X104" s="250"/>
    </row>
    <row r="105" spans="2:24" s="79" customFormat="1" ht="202.5" customHeight="1">
      <c r="B105" s="125" t="s">
        <v>249</v>
      </c>
      <c r="C105" s="125" t="s">
        <v>258</v>
      </c>
      <c r="D105" s="126" t="s">
        <v>257</v>
      </c>
      <c r="E105" s="127">
        <f>702515+6218</f>
        <v>708733</v>
      </c>
      <c r="F105" s="125" t="s">
        <v>258</v>
      </c>
      <c r="G105" s="40">
        <v>76418</v>
      </c>
      <c r="H105" s="40">
        <v>175265</v>
      </c>
      <c r="I105" s="126" t="s">
        <v>472</v>
      </c>
      <c r="J105" s="126" t="s">
        <v>459</v>
      </c>
      <c r="K105" s="154">
        <v>182439092318</v>
      </c>
      <c r="L105" s="260"/>
      <c r="M105" s="260"/>
      <c r="N105" s="260"/>
      <c r="O105" s="154"/>
      <c r="P105" s="154"/>
      <c r="Q105" s="154"/>
      <c r="R105" s="154"/>
      <c r="S105" s="154"/>
      <c r="T105" s="154"/>
      <c r="U105" s="4">
        <f t="shared" si="3"/>
        <v>0</v>
      </c>
      <c r="V105" s="143"/>
      <c r="W105" s="250"/>
      <c r="X105" s="250"/>
    </row>
    <row r="106" spans="2:24" s="79" customFormat="1" ht="216.75">
      <c r="B106" s="125" t="s">
        <v>249</v>
      </c>
      <c r="C106" s="125" t="s">
        <v>250</v>
      </c>
      <c r="D106" s="137" t="s">
        <v>324</v>
      </c>
      <c r="E106" s="127">
        <v>1291</v>
      </c>
      <c r="F106" s="125" t="s">
        <v>250</v>
      </c>
      <c r="G106" s="40">
        <v>115</v>
      </c>
      <c r="H106" s="40">
        <v>168</v>
      </c>
      <c r="I106" s="126" t="s">
        <v>473</v>
      </c>
      <c r="J106" s="126" t="s">
        <v>460</v>
      </c>
      <c r="K106" s="154">
        <v>321958000</v>
      </c>
      <c r="L106" s="260"/>
      <c r="M106" s="260"/>
      <c r="N106" s="260"/>
      <c r="O106" s="154"/>
      <c r="P106" s="266"/>
      <c r="Q106" s="266"/>
      <c r="R106" s="266"/>
      <c r="S106" s="266"/>
      <c r="T106" s="266"/>
      <c r="U106" s="4">
        <f t="shared" si="3"/>
        <v>0</v>
      </c>
      <c r="V106" s="150"/>
      <c r="W106" s="250"/>
      <c r="X106" s="250"/>
    </row>
    <row r="107" spans="2:24" s="79" customFormat="1" ht="234" customHeight="1">
      <c r="B107" s="125" t="s">
        <v>249</v>
      </c>
      <c r="C107" s="125" t="s">
        <v>250</v>
      </c>
      <c r="D107" s="137" t="s">
        <v>325</v>
      </c>
      <c r="E107" s="127">
        <v>1291</v>
      </c>
      <c r="F107" s="125" t="s">
        <v>250</v>
      </c>
      <c r="G107" s="40">
        <v>115</v>
      </c>
      <c r="H107" s="40">
        <v>168</v>
      </c>
      <c r="I107" s="126" t="s">
        <v>474</v>
      </c>
      <c r="J107" s="126" t="s">
        <v>461</v>
      </c>
      <c r="K107" s="154">
        <v>279108000</v>
      </c>
      <c r="L107" s="260"/>
      <c r="M107" s="260"/>
      <c r="N107" s="260"/>
      <c r="O107" s="154"/>
      <c r="P107" s="266"/>
      <c r="Q107" s="266"/>
      <c r="R107" s="266"/>
      <c r="S107" s="266"/>
      <c r="T107" s="266"/>
      <c r="U107" s="4">
        <f t="shared" si="3"/>
        <v>0</v>
      </c>
      <c r="V107" s="150"/>
      <c r="W107" s="250"/>
      <c r="X107" s="250"/>
    </row>
    <row r="108" spans="2:24" s="81" customFormat="1" ht="50.25" customHeight="1">
      <c r="B108" s="320" t="s">
        <v>33</v>
      </c>
      <c r="C108" s="320"/>
      <c r="D108" s="82"/>
      <c r="E108" s="83">
        <f>SUM(E71:E107)</f>
        <v>1280933.461302476</v>
      </c>
      <c r="F108" s="83"/>
      <c r="G108" s="83">
        <f>SUM(G71:G107)</f>
        <v>125064</v>
      </c>
      <c r="H108" s="83">
        <f>SUM(H71:H107)</f>
        <v>312493</v>
      </c>
      <c r="I108" s="83"/>
      <c r="J108" s="83"/>
      <c r="K108" s="164">
        <f>SUM(K71:K107)</f>
        <v>318898137396.64075</v>
      </c>
      <c r="L108" s="164"/>
      <c r="M108" s="83">
        <f>SUM(M71:M107)</f>
        <v>0</v>
      </c>
      <c r="N108" s="164"/>
      <c r="O108" s="164"/>
      <c r="P108" s="164"/>
      <c r="Q108" s="164"/>
      <c r="R108" s="164"/>
      <c r="S108" s="164"/>
      <c r="T108" s="164"/>
      <c r="U108" s="164">
        <f>SUM(U71:U107)</f>
        <v>0</v>
      </c>
      <c r="V108" s="83"/>
      <c r="W108" s="250"/>
      <c r="X108" s="250"/>
    </row>
    <row r="109" spans="2:24" s="84" customFormat="1" ht="191.25" customHeight="1">
      <c r="B109" s="52" t="s">
        <v>34</v>
      </c>
      <c r="C109" s="52">
        <v>337</v>
      </c>
      <c r="D109" s="85" t="s">
        <v>35</v>
      </c>
      <c r="E109" s="40">
        <v>798</v>
      </c>
      <c r="F109" s="53" t="s">
        <v>36</v>
      </c>
      <c r="G109" s="40">
        <v>798.136</v>
      </c>
      <c r="H109" s="40"/>
      <c r="I109" s="41"/>
      <c r="J109" s="41"/>
      <c r="K109" s="41"/>
      <c r="L109" s="41"/>
      <c r="M109" s="41"/>
      <c r="N109" s="41"/>
      <c r="O109" s="41"/>
      <c r="P109" s="41"/>
      <c r="Q109" s="41"/>
      <c r="R109" s="41"/>
      <c r="S109" s="41"/>
      <c r="T109" s="41"/>
      <c r="U109" s="41"/>
      <c r="V109" s="41"/>
      <c r="W109" s="250"/>
      <c r="X109" s="250"/>
    </row>
    <row r="110" spans="2:24" s="86" customFormat="1" ht="66">
      <c r="B110" s="52" t="s">
        <v>34</v>
      </c>
      <c r="C110" s="52">
        <v>337</v>
      </c>
      <c r="D110" s="85" t="s">
        <v>37</v>
      </c>
      <c r="E110" s="40">
        <v>39.182</v>
      </c>
      <c r="F110" s="53" t="s">
        <v>36</v>
      </c>
      <c r="G110" s="40">
        <v>39.182</v>
      </c>
      <c r="H110" s="40"/>
      <c r="I110" s="41"/>
      <c r="J110" s="41"/>
      <c r="K110" s="41"/>
      <c r="L110" s="41"/>
      <c r="M110" s="41"/>
      <c r="N110" s="41"/>
      <c r="O110" s="41"/>
      <c r="P110" s="41"/>
      <c r="Q110" s="41"/>
      <c r="R110" s="41"/>
      <c r="S110" s="41"/>
      <c r="T110" s="41"/>
      <c r="U110" s="41"/>
      <c r="V110" s="41"/>
      <c r="W110" s="250"/>
      <c r="X110" s="250"/>
    </row>
    <row r="111" spans="2:24" s="86" customFormat="1" ht="66">
      <c r="B111" s="52" t="s">
        <v>34</v>
      </c>
      <c r="C111" s="52">
        <v>337</v>
      </c>
      <c r="D111" s="85" t="s">
        <v>38</v>
      </c>
      <c r="E111" s="40">
        <v>1471.325</v>
      </c>
      <c r="F111" s="53" t="s">
        <v>36</v>
      </c>
      <c r="G111" s="40">
        <v>1471.325</v>
      </c>
      <c r="H111" s="40"/>
      <c r="I111" s="41"/>
      <c r="J111" s="41"/>
      <c r="K111" s="41"/>
      <c r="L111" s="41"/>
      <c r="M111" s="41"/>
      <c r="N111" s="41"/>
      <c r="O111" s="41"/>
      <c r="P111" s="41"/>
      <c r="Q111" s="41"/>
      <c r="R111" s="41"/>
      <c r="S111" s="41"/>
      <c r="T111" s="41"/>
      <c r="U111" s="41"/>
      <c r="V111" s="41"/>
      <c r="W111" s="250"/>
      <c r="X111" s="250"/>
    </row>
    <row r="112" spans="2:24" s="86" customFormat="1" ht="49.5">
      <c r="B112" s="52" t="s">
        <v>34</v>
      </c>
      <c r="C112" s="52">
        <v>384</v>
      </c>
      <c r="D112" s="85" t="s">
        <v>39</v>
      </c>
      <c r="E112" s="40">
        <v>214.947666666667</v>
      </c>
      <c r="F112" s="53" t="s">
        <v>40</v>
      </c>
      <c r="G112" s="40">
        <v>214.947666666667</v>
      </c>
      <c r="H112" s="40"/>
      <c r="I112" s="41"/>
      <c r="J112" s="41"/>
      <c r="K112" s="41"/>
      <c r="L112" s="41"/>
      <c r="M112" s="41"/>
      <c r="N112" s="41"/>
      <c r="O112" s="41"/>
      <c r="P112" s="41"/>
      <c r="Q112" s="41"/>
      <c r="R112" s="41"/>
      <c r="S112" s="41"/>
      <c r="T112" s="41"/>
      <c r="U112" s="41"/>
      <c r="V112" s="41"/>
      <c r="W112" s="250"/>
      <c r="X112" s="250"/>
    </row>
    <row r="113" spans="2:24" s="86" customFormat="1" ht="82.5">
      <c r="B113" s="52" t="s">
        <v>34</v>
      </c>
      <c r="C113" s="52">
        <v>384</v>
      </c>
      <c r="D113" s="85" t="s">
        <v>75</v>
      </c>
      <c r="E113" s="40">
        <v>214.947666666667</v>
      </c>
      <c r="F113" s="53" t="s">
        <v>40</v>
      </c>
      <c r="G113" s="40">
        <v>214.947</v>
      </c>
      <c r="H113" s="40"/>
      <c r="I113" s="41"/>
      <c r="J113" s="41"/>
      <c r="K113" s="41"/>
      <c r="L113" s="41"/>
      <c r="M113" s="41"/>
      <c r="N113" s="41"/>
      <c r="O113" s="41"/>
      <c r="P113" s="41"/>
      <c r="Q113" s="41"/>
      <c r="R113" s="41"/>
      <c r="S113" s="41"/>
      <c r="T113" s="41"/>
      <c r="U113" s="41"/>
      <c r="V113" s="41"/>
      <c r="W113" s="250"/>
      <c r="X113" s="250"/>
    </row>
    <row r="114" spans="2:24" s="86" customFormat="1" ht="66">
      <c r="B114" s="52" t="s">
        <v>34</v>
      </c>
      <c r="C114" s="52">
        <v>384</v>
      </c>
      <c r="D114" s="85" t="s">
        <v>76</v>
      </c>
      <c r="E114" s="40">
        <v>214.947666666667</v>
      </c>
      <c r="F114" s="53" t="s">
        <v>40</v>
      </c>
      <c r="G114" s="40">
        <v>214.947666666667</v>
      </c>
      <c r="H114" s="40"/>
      <c r="I114" s="41"/>
      <c r="J114" s="41"/>
      <c r="K114" s="41"/>
      <c r="L114" s="41"/>
      <c r="M114" s="41"/>
      <c r="N114" s="41"/>
      <c r="O114" s="41"/>
      <c r="P114" s="41"/>
      <c r="Q114" s="41"/>
      <c r="R114" s="41"/>
      <c r="S114" s="41"/>
      <c r="T114" s="41"/>
      <c r="U114" s="41"/>
      <c r="V114" s="41"/>
      <c r="W114" s="250"/>
      <c r="X114" s="250"/>
    </row>
    <row r="115" spans="2:24" s="86" customFormat="1" ht="66">
      <c r="B115" s="52" t="s">
        <v>34</v>
      </c>
      <c r="C115" s="52">
        <v>384</v>
      </c>
      <c r="D115" s="85" t="s">
        <v>77</v>
      </c>
      <c r="E115" s="40">
        <v>7993.675</v>
      </c>
      <c r="F115" s="53" t="s">
        <v>40</v>
      </c>
      <c r="G115" s="40">
        <v>390</v>
      </c>
      <c r="H115" s="40"/>
      <c r="I115" s="41"/>
      <c r="J115" s="41"/>
      <c r="K115" s="41"/>
      <c r="L115" s="41"/>
      <c r="M115" s="41"/>
      <c r="N115" s="41"/>
      <c r="O115" s="41"/>
      <c r="P115" s="41"/>
      <c r="Q115" s="41"/>
      <c r="R115" s="41"/>
      <c r="S115" s="41"/>
      <c r="T115" s="41"/>
      <c r="U115" s="41"/>
      <c r="V115" s="41"/>
      <c r="W115" s="250"/>
      <c r="X115" s="250"/>
    </row>
    <row r="116" spans="2:24" s="86" customFormat="1" ht="119.25" customHeight="1">
      <c r="B116" s="52" t="s">
        <v>34</v>
      </c>
      <c r="C116" s="52">
        <v>385</v>
      </c>
      <c r="D116" s="85" t="s">
        <v>78</v>
      </c>
      <c r="E116" s="40">
        <v>75579</v>
      </c>
      <c r="F116" s="53" t="s">
        <v>79</v>
      </c>
      <c r="G116" s="40">
        <v>75579</v>
      </c>
      <c r="H116" s="40"/>
      <c r="I116" s="41"/>
      <c r="J116" s="41"/>
      <c r="K116" s="41"/>
      <c r="L116" s="41"/>
      <c r="M116" s="41"/>
      <c r="N116" s="41"/>
      <c r="O116" s="41"/>
      <c r="P116" s="41"/>
      <c r="Q116" s="41"/>
      <c r="R116" s="41"/>
      <c r="S116" s="41"/>
      <c r="T116" s="41"/>
      <c r="U116" s="41"/>
      <c r="V116" s="41"/>
      <c r="W116" s="250"/>
      <c r="X116" s="250"/>
    </row>
    <row r="117" spans="2:24" s="86" customFormat="1" ht="82.5">
      <c r="B117" s="52" t="s">
        <v>34</v>
      </c>
      <c r="C117" s="52">
        <v>385</v>
      </c>
      <c r="D117" s="85" t="s">
        <v>80</v>
      </c>
      <c r="E117" s="40">
        <v>24000</v>
      </c>
      <c r="F117" s="53" t="s">
        <v>79</v>
      </c>
      <c r="G117" s="40">
        <v>24000</v>
      </c>
      <c r="H117" s="40"/>
      <c r="I117" s="41"/>
      <c r="J117" s="41"/>
      <c r="K117" s="41"/>
      <c r="L117" s="41"/>
      <c r="M117" s="41"/>
      <c r="N117" s="41"/>
      <c r="O117" s="41"/>
      <c r="P117" s="41"/>
      <c r="Q117" s="41"/>
      <c r="R117" s="41"/>
      <c r="S117" s="41"/>
      <c r="T117" s="41"/>
      <c r="U117" s="41"/>
      <c r="V117" s="41"/>
      <c r="W117" s="250"/>
      <c r="X117" s="250"/>
    </row>
    <row r="118" spans="2:24" s="81" customFormat="1" ht="16.5">
      <c r="B118" s="320" t="s">
        <v>81</v>
      </c>
      <c r="C118" s="320"/>
      <c r="D118" s="82"/>
      <c r="E118" s="83">
        <f>SUM(E109:E117)</f>
        <v>110526.025</v>
      </c>
      <c r="F118" s="83"/>
      <c r="G118" s="83">
        <f>SUM(G109:G117)</f>
        <v>102922.48533333333</v>
      </c>
      <c r="H118" s="83"/>
      <c r="I118" s="83"/>
      <c r="J118" s="83"/>
      <c r="K118" s="83"/>
      <c r="L118" s="83"/>
      <c r="M118" s="83">
        <f>SUM(M109:M117)</f>
        <v>0</v>
      </c>
      <c r="N118" s="83"/>
      <c r="O118" s="83"/>
      <c r="P118" s="83"/>
      <c r="Q118" s="83"/>
      <c r="R118" s="83"/>
      <c r="S118" s="83"/>
      <c r="T118" s="83"/>
      <c r="U118" s="83"/>
      <c r="V118" s="83"/>
      <c r="W118" s="250"/>
      <c r="X118" s="250"/>
    </row>
    <row r="119" spans="2:24" ht="24" customHeight="1">
      <c r="B119" s="316" t="s">
        <v>47</v>
      </c>
      <c r="C119" s="316"/>
      <c r="D119" s="316"/>
      <c r="E119" s="27">
        <f>+E108+E118</f>
        <v>1391459.486302476</v>
      </c>
      <c r="F119" s="27">
        <f>+F108+F118</f>
        <v>0</v>
      </c>
      <c r="G119" s="27">
        <f>+G108+G118</f>
        <v>227986.48533333332</v>
      </c>
      <c r="H119" s="27">
        <f>+H108+H118</f>
        <v>312493</v>
      </c>
      <c r="I119" s="44"/>
      <c r="J119" s="44"/>
      <c r="K119" s="165">
        <f>+K108+K118</f>
        <v>318898137396.64075</v>
      </c>
      <c r="L119" s="165"/>
      <c r="M119" s="27">
        <f>+M108+M118</f>
        <v>0</v>
      </c>
      <c r="N119" s="165"/>
      <c r="O119" s="165">
        <f>+O108+O118</f>
        <v>0</v>
      </c>
      <c r="P119" s="165"/>
      <c r="Q119" s="165"/>
      <c r="R119" s="165"/>
      <c r="S119" s="165"/>
      <c r="T119" s="165"/>
      <c r="U119" s="44"/>
      <c r="V119" s="44"/>
      <c r="W119" s="254"/>
      <c r="X119" s="254"/>
    </row>
    <row r="120" spans="2:24" ht="24.75" customHeight="1">
      <c r="B120" s="32" t="s">
        <v>48</v>
      </c>
      <c r="C120" s="77"/>
      <c r="D120" s="77"/>
      <c r="E120" s="77"/>
      <c r="F120" s="77"/>
      <c r="G120" s="77"/>
      <c r="H120" s="77"/>
      <c r="I120" s="77"/>
      <c r="J120" s="77"/>
      <c r="K120" s="77"/>
      <c r="L120" s="77"/>
      <c r="M120" s="77"/>
      <c r="N120" s="77"/>
      <c r="O120" s="77"/>
      <c r="P120" s="77"/>
      <c r="Q120" s="77"/>
      <c r="R120" s="77"/>
      <c r="S120" s="77"/>
      <c r="T120" s="77"/>
      <c r="U120" s="77"/>
      <c r="V120" s="77"/>
      <c r="W120" s="77"/>
      <c r="X120" s="77"/>
    </row>
    <row r="121" spans="1:24" s="74" customFormat="1" ht="20.25" customHeight="1">
      <c r="A121" s="23"/>
      <c r="B121" s="87" t="s">
        <v>336</v>
      </c>
      <c r="C121" s="88"/>
      <c r="D121" s="88"/>
      <c r="E121" s="88"/>
      <c r="F121" s="88"/>
      <c r="G121" s="88"/>
      <c r="H121" s="89"/>
      <c r="I121" s="88"/>
      <c r="J121" s="88"/>
      <c r="K121" s="88"/>
      <c r="L121" s="88"/>
      <c r="M121" s="88"/>
      <c r="N121" s="88"/>
      <c r="O121" s="88"/>
      <c r="P121" s="88"/>
      <c r="Q121" s="88"/>
      <c r="R121" s="88"/>
      <c r="S121" s="88"/>
      <c r="T121" s="88"/>
      <c r="U121" s="88"/>
      <c r="V121" s="88"/>
      <c r="W121" s="256"/>
      <c r="X121" s="256"/>
    </row>
    <row r="122" spans="2:24" s="58" customFormat="1" ht="82.5">
      <c r="B122" s="39" t="s">
        <v>337</v>
      </c>
      <c r="C122" s="39" t="s">
        <v>338</v>
      </c>
      <c r="D122" s="39" t="s">
        <v>339</v>
      </c>
      <c r="E122" s="40">
        <f>19463-956</f>
        <v>18507</v>
      </c>
      <c r="F122" s="55" t="s">
        <v>188</v>
      </c>
      <c r="G122" s="40">
        <v>50</v>
      </c>
      <c r="H122" s="40">
        <v>3390</v>
      </c>
      <c r="I122" s="53" t="s">
        <v>189</v>
      </c>
      <c r="J122" s="53" t="s">
        <v>153</v>
      </c>
      <c r="K122" s="40">
        <v>5738</v>
      </c>
      <c r="L122" s="7"/>
      <c r="M122" s="7"/>
      <c r="N122" s="7"/>
      <c r="O122" s="40"/>
      <c r="P122" s="40"/>
      <c r="Q122" s="40"/>
      <c r="R122" s="40"/>
      <c r="S122" s="40"/>
      <c r="T122" s="40"/>
      <c r="U122" s="4">
        <f aca="true" t="shared" si="4" ref="U122:U127">+P122+Q122+R122+S122+T122</f>
        <v>0</v>
      </c>
      <c r="V122" s="9"/>
      <c r="W122" s="250"/>
      <c r="X122" s="250"/>
    </row>
    <row r="123" spans="1:24" ht="198">
      <c r="A123" s="58"/>
      <c r="B123" s="39" t="s">
        <v>337</v>
      </c>
      <c r="C123" s="39" t="s">
        <v>190</v>
      </c>
      <c r="D123" s="39" t="s">
        <v>191</v>
      </c>
      <c r="E123" s="40">
        <v>4000</v>
      </c>
      <c r="F123" s="55" t="s">
        <v>188</v>
      </c>
      <c r="G123" s="40">
        <v>826</v>
      </c>
      <c r="H123" s="40">
        <v>533</v>
      </c>
      <c r="I123" s="48" t="s">
        <v>417</v>
      </c>
      <c r="J123" s="53" t="s">
        <v>154</v>
      </c>
      <c r="K123" s="40">
        <v>381</v>
      </c>
      <c r="L123" s="7"/>
      <c r="M123" s="7"/>
      <c r="N123" s="7"/>
      <c r="O123" s="7"/>
      <c r="P123" s="7"/>
      <c r="Q123" s="7"/>
      <c r="R123" s="7"/>
      <c r="S123" s="7"/>
      <c r="T123" s="7"/>
      <c r="U123" s="4">
        <f t="shared" si="4"/>
        <v>0</v>
      </c>
      <c r="V123" s="40"/>
      <c r="W123" s="250"/>
      <c r="X123" s="250"/>
    </row>
    <row r="124" spans="1:24" ht="134.25" customHeight="1">
      <c r="A124" s="58"/>
      <c r="B124" s="39" t="s">
        <v>192</v>
      </c>
      <c r="C124" s="39" t="s">
        <v>193</v>
      </c>
      <c r="D124" s="39" t="s">
        <v>194</v>
      </c>
      <c r="E124" s="40">
        <v>21400</v>
      </c>
      <c r="F124" s="55" t="s">
        <v>195</v>
      </c>
      <c r="G124" s="40">
        <v>33</v>
      </c>
      <c r="H124" s="40">
        <v>2353</v>
      </c>
      <c r="I124" s="48" t="s">
        <v>186</v>
      </c>
      <c r="J124" s="53" t="s">
        <v>155</v>
      </c>
      <c r="K124" s="40">
        <v>2741</v>
      </c>
      <c r="L124" s="7"/>
      <c r="M124" s="7"/>
      <c r="N124" s="7"/>
      <c r="O124" s="7"/>
      <c r="P124" s="7"/>
      <c r="Q124" s="7"/>
      <c r="R124" s="7"/>
      <c r="S124" s="7"/>
      <c r="T124" s="7"/>
      <c r="U124" s="4">
        <f t="shared" si="4"/>
        <v>0</v>
      </c>
      <c r="V124" s="9"/>
      <c r="W124" s="250"/>
      <c r="X124" s="250"/>
    </row>
    <row r="125" spans="2:24" ht="198">
      <c r="B125" s="39" t="s">
        <v>259</v>
      </c>
      <c r="C125" s="39" t="s">
        <v>190</v>
      </c>
      <c r="D125" s="39" t="s">
        <v>191</v>
      </c>
      <c r="E125" s="40">
        <v>12700</v>
      </c>
      <c r="F125" s="55" t="s">
        <v>260</v>
      </c>
      <c r="G125" s="40">
        <v>33</v>
      </c>
      <c r="H125" s="40">
        <v>612</v>
      </c>
      <c r="I125" s="40">
        <v>13455</v>
      </c>
      <c r="J125" s="53" t="s">
        <v>156</v>
      </c>
      <c r="K125" s="40">
        <v>98</v>
      </c>
      <c r="L125" s="7"/>
      <c r="M125" s="7"/>
      <c r="N125" s="7"/>
      <c r="O125" s="7"/>
      <c r="P125" s="7"/>
      <c r="Q125" s="7"/>
      <c r="R125" s="7"/>
      <c r="S125" s="7"/>
      <c r="T125" s="7"/>
      <c r="U125" s="4">
        <f t="shared" si="4"/>
        <v>0</v>
      </c>
      <c r="V125" s="9"/>
      <c r="W125" s="250"/>
      <c r="X125" s="250"/>
    </row>
    <row r="126" spans="2:24" s="58" customFormat="1" ht="82.5">
      <c r="B126" s="39" t="s">
        <v>261</v>
      </c>
      <c r="C126" s="39" t="s">
        <v>262</v>
      </c>
      <c r="D126" s="39" t="s">
        <v>263</v>
      </c>
      <c r="E126" s="40">
        <v>412</v>
      </c>
      <c r="F126" s="55" t="s">
        <v>264</v>
      </c>
      <c r="G126" s="48"/>
      <c r="H126" s="40">
        <v>121</v>
      </c>
      <c r="I126" s="41">
        <v>12850</v>
      </c>
      <c r="J126" s="53" t="s">
        <v>157</v>
      </c>
      <c r="K126" s="40">
        <v>96</v>
      </c>
      <c r="L126" s="7"/>
      <c r="M126" s="7"/>
      <c r="N126" s="7"/>
      <c r="O126" s="7"/>
      <c r="P126" s="7"/>
      <c r="Q126" s="7"/>
      <c r="R126" s="7"/>
      <c r="S126" s="7"/>
      <c r="T126" s="7"/>
      <c r="U126" s="4">
        <f t="shared" si="4"/>
        <v>0</v>
      </c>
      <c r="V126" s="4"/>
      <c r="W126" s="250"/>
      <c r="X126" s="250"/>
    </row>
    <row r="127" spans="2:24" s="58" customFormat="1" ht="99">
      <c r="B127" s="39" t="s">
        <v>265</v>
      </c>
      <c r="C127" s="39" t="s">
        <v>266</v>
      </c>
      <c r="D127" s="39" t="s">
        <v>267</v>
      </c>
      <c r="E127" s="40">
        <v>160</v>
      </c>
      <c r="F127" s="55" t="s">
        <v>268</v>
      </c>
      <c r="G127" s="40">
        <v>52</v>
      </c>
      <c r="H127" s="40">
        <v>32</v>
      </c>
      <c r="I127" s="41">
        <v>750</v>
      </c>
      <c r="J127" s="41" t="s">
        <v>19</v>
      </c>
      <c r="K127" s="40" t="s">
        <v>19</v>
      </c>
      <c r="L127" s="7"/>
      <c r="M127" s="7"/>
      <c r="N127" s="7"/>
      <c r="O127" s="7"/>
      <c r="P127" s="7"/>
      <c r="Q127" s="7"/>
      <c r="R127" s="7"/>
      <c r="S127" s="7"/>
      <c r="T127" s="7"/>
      <c r="U127" s="4">
        <f t="shared" si="4"/>
        <v>0</v>
      </c>
      <c r="V127" s="4"/>
      <c r="W127" s="250"/>
      <c r="X127" s="250"/>
    </row>
    <row r="128" spans="2:24" ht="16.5">
      <c r="B128" s="90" t="s">
        <v>240</v>
      </c>
      <c r="C128" s="90"/>
      <c r="D128" s="90"/>
      <c r="E128" s="91">
        <f>+E127+E126+E125+E124+E123+E122</f>
        <v>57179</v>
      </c>
      <c r="F128" s="90"/>
      <c r="G128" s="91">
        <f>+G127+G126+G125+G124+G123+G122</f>
        <v>994</v>
      </c>
      <c r="H128" s="91">
        <f>SUM(H122:H127)</f>
        <v>7041</v>
      </c>
      <c r="I128" s="90"/>
      <c r="J128" s="90"/>
      <c r="K128" s="91">
        <f>SUM(K122:K127)</f>
        <v>9054</v>
      </c>
      <c r="L128" s="91"/>
      <c r="M128" s="91">
        <f>+M127+M126+M125+M124+M123+M122</f>
        <v>0</v>
      </c>
      <c r="N128" s="91"/>
      <c r="O128" s="91"/>
      <c r="P128" s="91"/>
      <c r="Q128" s="91"/>
      <c r="R128" s="91"/>
      <c r="S128" s="91"/>
      <c r="T128" s="91"/>
      <c r="U128" s="91">
        <f>SUM(U122:U127)</f>
        <v>0</v>
      </c>
      <c r="V128" s="90"/>
      <c r="W128" s="257"/>
      <c r="X128" s="257"/>
    </row>
    <row r="129" spans="1:24" s="74" customFormat="1" ht="21.75" customHeight="1">
      <c r="A129" s="23"/>
      <c r="B129" s="92" t="s">
        <v>269</v>
      </c>
      <c r="C129" s="93"/>
      <c r="D129" s="93"/>
      <c r="E129" s="93"/>
      <c r="F129" s="93"/>
      <c r="G129" s="93"/>
      <c r="H129" s="94"/>
      <c r="I129" s="95"/>
      <c r="J129" s="95"/>
      <c r="K129" s="95"/>
      <c r="L129" s="95"/>
      <c r="M129" s="95"/>
      <c r="N129" s="95"/>
      <c r="O129" s="95"/>
      <c r="P129" s="95"/>
      <c r="Q129" s="95"/>
      <c r="R129" s="95"/>
      <c r="S129" s="95"/>
      <c r="T129" s="95"/>
      <c r="U129" s="95"/>
      <c r="V129" s="95"/>
      <c r="W129" s="95"/>
      <c r="X129" s="95"/>
    </row>
    <row r="130" spans="2:24" s="49" customFormat="1" ht="66">
      <c r="B130" s="39" t="s">
        <v>270</v>
      </c>
      <c r="C130" s="39" t="s">
        <v>271</v>
      </c>
      <c r="D130" s="39" t="s">
        <v>272</v>
      </c>
      <c r="E130" s="40">
        <v>7739</v>
      </c>
      <c r="F130" s="39" t="s">
        <v>273</v>
      </c>
      <c r="G130" s="54">
        <v>1182</v>
      </c>
      <c r="H130" s="40">
        <v>2520</v>
      </c>
      <c r="I130" s="41">
        <v>423960</v>
      </c>
      <c r="J130" s="53" t="s">
        <v>158</v>
      </c>
      <c r="K130" s="40">
        <v>2250</v>
      </c>
      <c r="L130" s="7"/>
      <c r="M130" s="7"/>
      <c r="N130" s="7"/>
      <c r="O130" s="7"/>
      <c r="P130" s="7"/>
      <c r="Q130" s="7"/>
      <c r="R130" s="7"/>
      <c r="S130" s="7"/>
      <c r="T130" s="7"/>
      <c r="U130" s="4">
        <f>+P130+Q130+R130+S130+T130</f>
        <v>0</v>
      </c>
      <c r="V130" s="9"/>
      <c r="W130" s="250"/>
      <c r="X130" s="250"/>
    </row>
    <row r="131" spans="2:24" s="49" customFormat="1" ht="49.5">
      <c r="B131" s="39" t="s">
        <v>270</v>
      </c>
      <c r="C131" s="39" t="s">
        <v>271</v>
      </c>
      <c r="D131" s="39" t="s">
        <v>159</v>
      </c>
      <c r="E131" s="40">
        <v>13964</v>
      </c>
      <c r="F131" s="39" t="s">
        <v>274</v>
      </c>
      <c r="G131" s="40">
        <v>1885</v>
      </c>
      <c r="H131" s="40">
        <v>2157</v>
      </c>
      <c r="I131" s="41">
        <v>7159</v>
      </c>
      <c r="J131" s="43" t="s">
        <v>20</v>
      </c>
      <c r="K131" s="40">
        <v>3796</v>
      </c>
      <c r="L131" s="7"/>
      <c r="M131" s="7"/>
      <c r="N131" s="7"/>
      <c r="O131" s="7"/>
      <c r="P131" s="7"/>
      <c r="Q131" s="7"/>
      <c r="R131" s="7"/>
      <c r="S131" s="7"/>
      <c r="T131" s="7"/>
      <c r="U131" s="4">
        <f>+P131+Q131+R131+S131+T131</f>
        <v>0</v>
      </c>
      <c r="V131" s="7"/>
      <c r="W131" s="250"/>
      <c r="X131" s="250"/>
    </row>
    <row r="132" spans="2:24" s="49" customFormat="1" ht="49.5">
      <c r="B132" s="39" t="s">
        <v>270</v>
      </c>
      <c r="C132" s="39" t="s">
        <v>271</v>
      </c>
      <c r="D132" s="39" t="s">
        <v>275</v>
      </c>
      <c r="E132" s="40">
        <v>49685</v>
      </c>
      <c r="F132" s="39" t="s">
        <v>274</v>
      </c>
      <c r="G132" s="40">
        <v>9160</v>
      </c>
      <c r="H132" s="96">
        <v>1423</v>
      </c>
      <c r="I132" s="97">
        <v>517</v>
      </c>
      <c r="J132" s="98" t="s">
        <v>21</v>
      </c>
      <c r="K132" s="96">
        <v>1701</v>
      </c>
      <c r="L132" s="170"/>
      <c r="M132" s="170"/>
      <c r="N132" s="170"/>
      <c r="O132" s="170"/>
      <c r="P132" s="170"/>
      <c r="Q132" s="170"/>
      <c r="R132" s="170"/>
      <c r="S132" s="170"/>
      <c r="T132" s="170"/>
      <c r="U132" s="4">
        <f>+P132+Q132+R132+S132+T132</f>
        <v>0</v>
      </c>
      <c r="V132" s="9"/>
      <c r="W132" s="250"/>
      <c r="X132" s="250"/>
    </row>
    <row r="133" spans="2:24" s="49" customFormat="1" ht="66">
      <c r="B133" s="39" t="s">
        <v>192</v>
      </c>
      <c r="C133" s="39" t="s">
        <v>276</v>
      </c>
      <c r="D133" s="39" t="s">
        <v>277</v>
      </c>
      <c r="E133" s="40">
        <v>1209</v>
      </c>
      <c r="F133" s="39" t="s">
        <v>278</v>
      </c>
      <c r="G133" s="40"/>
      <c r="H133" s="40">
        <v>1346.3</v>
      </c>
      <c r="I133" s="48" t="s">
        <v>160</v>
      </c>
      <c r="J133" s="43" t="s">
        <v>161</v>
      </c>
      <c r="K133" s="40">
        <v>0</v>
      </c>
      <c r="L133" s="7"/>
      <c r="M133" s="7"/>
      <c r="N133" s="7"/>
      <c r="O133" s="7"/>
      <c r="P133" s="7"/>
      <c r="Q133" s="7"/>
      <c r="R133" s="7"/>
      <c r="S133" s="7"/>
      <c r="T133" s="7"/>
      <c r="U133" s="4">
        <f>+P133+Q133+R133+S133+T133</f>
        <v>0</v>
      </c>
      <c r="V133" s="8"/>
      <c r="W133" s="250"/>
      <c r="X133" s="250"/>
    </row>
    <row r="134" spans="2:24" ht="16.5">
      <c r="B134" s="90" t="s">
        <v>240</v>
      </c>
      <c r="C134" s="90"/>
      <c r="D134" s="90"/>
      <c r="E134" s="91">
        <f>SUM(E130:E133)</f>
        <v>72597</v>
      </c>
      <c r="F134" s="90"/>
      <c r="G134" s="91">
        <f>SUM(G130:G133)</f>
        <v>12227</v>
      </c>
      <c r="H134" s="91">
        <f>SUM(H130:H133)</f>
        <v>7446.3</v>
      </c>
      <c r="I134" s="90"/>
      <c r="J134" s="90"/>
      <c r="K134" s="91">
        <f>SUM(K130:K133)</f>
        <v>7747</v>
      </c>
      <c r="L134" s="91"/>
      <c r="M134" s="91">
        <f>SUM(M130:M133)</f>
        <v>0</v>
      </c>
      <c r="N134" s="91"/>
      <c r="O134" s="91"/>
      <c r="P134" s="91"/>
      <c r="Q134" s="91"/>
      <c r="R134" s="91"/>
      <c r="S134" s="91"/>
      <c r="T134" s="91"/>
      <c r="U134" s="91">
        <f>SUM(U130:U133)</f>
        <v>0</v>
      </c>
      <c r="V134" s="90"/>
      <c r="W134" s="257"/>
      <c r="X134" s="257"/>
    </row>
    <row r="135" spans="1:24" s="74" customFormat="1" ht="20.25" customHeight="1">
      <c r="A135" s="23"/>
      <c r="B135" s="92" t="s">
        <v>279</v>
      </c>
      <c r="C135" s="95"/>
      <c r="D135" s="95"/>
      <c r="E135" s="95"/>
      <c r="F135" s="95"/>
      <c r="G135" s="95"/>
      <c r="H135" s="94"/>
      <c r="I135" s="95"/>
      <c r="J135" s="95"/>
      <c r="K135" s="95"/>
      <c r="L135" s="95"/>
      <c r="M135" s="95"/>
      <c r="N135" s="95"/>
      <c r="O135" s="95"/>
      <c r="P135" s="95"/>
      <c r="Q135" s="95"/>
      <c r="R135" s="95"/>
      <c r="S135" s="95"/>
      <c r="T135" s="95"/>
      <c r="U135" s="95"/>
      <c r="V135" s="95"/>
      <c r="W135" s="95"/>
      <c r="X135" s="95"/>
    </row>
    <row r="136" spans="2:24" s="49" customFormat="1" ht="132">
      <c r="B136" s="39" t="s">
        <v>259</v>
      </c>
      <c r="C136" s="39" t="s">
        <v>280</v>
      </c>
      <c r="D136" s="39" t="s">
        <v>281</v>
      </c>
      <c r="E136" s="40">
        <v>600</v>
      </c>
      <c r="F136" s="39" t="s">
        <v>282</v>
      </c>
      <c r="G136" s="40">
        <v>308</v>
      </c>
      <c r="H136" s="40">
        <v>342</v>
      </c>
      <c r="I136" s="67" t="s">
        <v>418</v>
      </c>
      <c r="J136" s="67" t="s">
        <v>22</v>
      </c>
      <c r="K136" s="40">
        <v>300</v>
      </c>
      <c r="L136" s="7"/>
      <c r="M136" s="7"/>
      <c r="N136" s="7"/>
      <c r="O136" s="7"/>
      <c r="P136" s="7"/>
      <c r="Q136" s="7"/>
      <c r="R136" s="7"/>
      <c r="S136" s="7"/>
      <c r="T136" s="7"/>
      <c r="U136" s="4">
        <f>+P136+Q136+R136+S136+T136</f>
        <v>0</v>
      </c>
      <c r="V136" s="5"/>
      <c r="W136" s="250"/>
      <c r="X136" s="250"/>
    </row>
    <row r="137" spans="2:24" s="49" customFormat="1" ht="167.25" customHeight="1">
      <c r="B137" s="39" t="s">
        <v>259</v>
      </c>
      <c r="C137" s="39" t="s">
        <v>280</v>
      </c>
      <c r="D137" s="39" t="s">
        <v>281</v>
      </c>
      <c r="E137" s="40">
        <v>660</v>
      </c>
      <c r="F137" s="39" t="s">
        <v>282</v>
      </c>
      <c r="G137" s="40" t="s">
        <v>283</v>
      </c>
      <c r="H137" s="40">
        <v>137</v>
      </c>
      <c r="I137" s="67" t="s">
        <v>162</v>
      </c>
      <c r="J137" s="67" t="s">
        <v>309</v>
      </c>
      <c r="K137" s="40">
        <f>90+150</f>
        <v>240</v>
      </c>
      <c r="L137" s="7"/>
      <c r="M137" s="7"/>
      <c r="N137" s="7"/>
      <c r="O137" s="7"/>
      <c r="P137" s="7"/>
      <c r="Q137" s="7"/>
      <c r="R137" s="7"/>
      <c r="S137" s="7"/>
      <c r="T137" s="7"/>
      <c r="U137" s="4">
        <f>+P137+Q137+R137+S137+T137</f>
        <v>0</v>
      </c>
      <c r="V137" s="5"/>
      <c r="W137" s="250"/>
      <c r="X137" s="250"/>
    </row>
    <row r="138" spans="2:24" ht="16.5">
      <c r="B138" s="90" t="s">
        <v>240</v>
      </c>
      <c r="C138" s="90"/>
      <c r="D138" s="90"/>
      <c r="E138" s="91">
        <f>SUM(E136:E137)</f>
        <v>1260</v>
      </c>
      <c r="F138" s="90"/>
      <c r="G138" s="91">
        <v>470</v>
      </c>
      <c r="H138" s="91">
        <f>SUM(H136:H137)</f>
        <v>479</v>
      </c>
      <c r="I138" s="90"/>
      <c r="J138" s="90"/>
      <c r="K138" s="91">
        <f>SUM(K136:K137)</f>
        <v>540</v>
      </c>
      <c r="L138" s="91"/>
      <c r="M138" s="91">
        <f>SUM(M136:M137)</f>
        <v>0</v>
      </c>
      <c r="N138" s="91"/>
      <c r="O138" s="91"/>
      <c r="P138" s="91"/>
      <c r="Q138" s="91"/>
      <c r="R138" s="91"/>
      <c r="S138" s="91"/>
      <c r="T138" s="91"/>
      <c r="U138" s="91">
        <f>SUM(U136:U137)</f>
        <v>0</v>
      </c>
      <c r="V138" s="90"/>
      <c r="W138" s="257"/>
      <c r="X138" s="257"/>
    </row>
    <row r="139" spans="1:24" s="74" customFormat="1" ht="20.25" customHeight="1">
      <c r="A139" s="23"/>
      <c r="B139" s="92" t="s">
        <v>139</v>
      </c>
      <c r="C139" s="95"/>
      <c r="D139" s="95"/>
      <c r="E139" s="95"/>
      <c r="F139" s="95"/>
      <c r="G139" s="95"/>
      <c r="H139" s="94"/>
      <c r="I139" s="95"/>
      <c r="J139" s="95"/>
      <c r="K139" s="95"/>
      <c r="L139" s="95"/>
      <c r="M139" s="95"/>
      <c r="N139" s="95"/>
      <c r="O139" s="95"/>
      <c r="P139" s="95"/>
      <c r="Q139" s="95"/>
      <c r="R139" s="95"/>
      <c r="S139" s="95"/>
      <c r="T139" s="95"/>
      <c r="U139" s="95"/>
      <c r="V139" s="95"/>
      <c r="W139" s="95"/>
      <c r="X139" s="95"/>
    </row>
    <row r="140" spans="2:24" s="49" customFormat="1" ht="132">
      <c r="B140" s="310" t="s">
        <v>270</v>
      </c>
      <c r="C140" s="310" t="s">
        <v>190</v>
      </c>
      <c r="D140" s="310" t="s">
        <v>140</v>
      </c>
      <c r="E140" s="40">
        <f>+(695*4)+637.5</f>
        <v>3417.5</v>
      </c>
      <c r="F140" s="55" t="s">
        <v>141</v>
      </c>
      <c r="G140" s="99">
        <v>637.5</v>
      </c>
      <c r="H140" s="99">
        <v>695</v>
      </c>
      <c r="I140" s="43" t="s">
        <v>419</v>
      </c>
      <c r="J140" s="43" t="s">
        <v>386</v>
      </c>
      <c r="K140" s="40">
        <v>587</v>
      </c>
      <c r="L140" s="7"/>
      <c r="M140" s="7"/>
      <c r="N140" s="7"/>
      <c r="O140" s="7"/>
      <c r="P140" s="7"/>
      <c r="Q140" s="7"/>
      <c r="R140" s="7"/>
      <c r="S140" s="7"/>
      <c r="T140" s="7"/>
      <c r="U140" s="4">
        <f>+P140+Q140+R140+S140+T140</f>
        <v>0</v>
      </c>
      <c r="V140" s="6"/>
      <c r="W140" s="250"/>
      <c r="X140" s="250"/>
    </row>
    <row r="141" spans="2:24" s="49" customFormat="1" ht="80.25" customHeight="1">
      <c r="B141" s="310"/>
      <c r="C141" s="310"/>
      <c r="D141" s="310"/>
      <c r="E141" s="40">
        <v>112.5</v>
      </c>
      <c r="F141" s="55" t="s">
        <v>387</v>
      </c>
      <c r="G141" s="40">
        <v>22.5</v>
      </c>
      <c r="H141" s="40">
        <v>23</v>
      </c>
      <c r="I141" s="67">
        <v>2621</v>
      </c>
      <c r="J141" s="67" t="s">
        <v>23</v>
      </c>
      <c r="K141" s="40">
        <v>23</v>
      </c>
      <c r="L141" s="7"/>
      <c r="M141" s="7"/>
      <c r="N141" s="7"/>
      <c r="O141" s="7"/>
      <c r="P141" s="7"/>
      <c r="Q141" s="7"/>
      <c r="R141" s="7"/>
      <c r="S141" s="7"/>
      <c r="T141" s="7"/>
      <c r="U141" s="4">
        <f>+P141+Q141+R141+S141+T141</f>
        <v>0</v>
      </c>
      <c r="V141" s="5"/>
      <c r="W141" s="250"/>
      <c r="X141" s="250"/>
    </row>
    <row r="142" spans="2:24" ht="16.5">
      <c r="B142" s="90" t="s">
        <v>240</v>
      </c>
      <c r="C142" s="90"/>
      <c r="D142" s="90"/>
      <c r="E142" s="91">
        <f>SUM(E140:E141)</f>
        <v>3530</v>
      </c>
      <c r="F142" s="90"/>
      <c r="G142" s="91">
        <f>SUM(G140:G141)</f>
        <v>660</v>
      </c>
      <c r="H142" s="91">
        <f>SUM(H140:H141)</f>
        <v>718</v>
      </c>
      <c r="I142" s="90"/>
      <c r="J142" s="90"/>
      <c r="K142" s="91">
        <f>SUM(K140:K141)</f>
        <v>610</v>
      </c>
      <c r="L142" s="91"/>
      <c r="M142" s="91">
        <f>SUM(M140:M141)</f>
        <v>0</v>
      </c>
      <c r="N142" s="91"/>
      <c r="O142" s="91"/>
      <c r="P142" s="91"/>
      <c r="Q142" s="91"/>
      <c r="R142" s="91"/>
      <c r="S142" s="91"/>
      <c r="T142" s="91"/>
      <c r="U142" s="91">
        <f>SUM(U140:U141)</f>
        <v>0</v>
      </c>
      <c r="V142" s="90"/>
      <c r="W142" s="257"/>
      <c r="X142" s="257"/>
    </row>
    <row r="143" spans="1:24" s="74" customFormat="1" ht="20.25" customHeight="1">
      <c r="A143" s="23"/>
      <c r="B143" s="92" t="s">
        <v>107</v>
      </c>
      <c r="C143" s="95"/>
      <c r="D143" s="95"/>
      <c r="E143" s="95"/>
      <c r="F143" s="95"/>
      <c r="G143" s="95"/>
      <c r="H143" s="94"/>
      <c r="I143" s="95"/>
      <c r="J143" s="95"/>
      <c r="K143" s="95"/>
      <c r="L143" s="95"/>
      <c r="M143" s="95"/>
      <c r="N143" s="95"/>
      <c r="O143" s="95"/>
      <c r="P143" s="95"/>
      <c r="Q143" s="95"/>
      <c r="R143" s="95"/>
      <c r="S143" s="95"/>
      <c r="T143" s="95"/>
      <c r="U143" s="95"/>
      <c r="V143" s="95"/>
      <c r="W143" s="95"/>
      <c r="X143" s="95"/>
    </row>
    <row r="144" spans="2:24" s="49" customFormat="1" ht="80.25" customHeight="1">
      <c r="B144" s="52" t="s">
        <v>270</v>
      </c>
      <c r="C144" s="52" t="s">
        <v>190</v>
      </c>
      <c r="D144" s="52" t="s">
        <v>140</v>
      </c>
      <c r="E144" s="40">
        <v>112.5</v>
      </c>
      <c r="F144" s="55" t="s">
        <v>387</v>
      </c>
      <c r="G144" s="40"/>
      <c r="H144" s="40"/>
      <c r="I144" s="67"/>
      <c r="J144" s="67"/>
      <c r="K144" s="40"/>
      <c r="L144" s="7"/>
      <c r="M144" s="7"/>
      <c r="N144" s="7"/>
      <c r="O144" s="7"/>
      <c r="P144" s="7"/>
      <c r="Q144" s="7"/>
      <c r="R144" s="7"/>
      <c r="S144" s="7"/>
      <c r="T144" s="7"/>
      <c r="U144" s="4">
        <f>+P144+Q144+R144+S144+T144</f>
        <v>0</v>
      </c>
      <c r="V144" s="5"/>
      <c r="W144" s="250"/>
      <c r="X144" s="250"/>
    </row>
    <row r="145" spans="2:24" s="49" customFormat="1" ht="16.5">
      <c r="B145" s="52"/>
      <c r="C145" s="52"/>
      <c r="D145" s="52"/>
      <c r="E145" s="40"/>
      <c r="F145" s="55"/>
      <c r="G145" s="40"/>
      <c r="H145" s="40"/>
      <c r="I145" s="67"/>
      <c r="J145" s="67"/>
      <c r="K145" s="40"/>
      <c r="L145" s="7"/>
      <c r="M145" s="7"/>
      <c r="N145" s="7"/>
      <c r="O145" s="7"/>
      <c r="P145" s="7"/>
      <c r="Q145" s="7"/>
      <c r="R145" s="7"/>
      <c r="S145" s="7"/>
      <c r="T145" s="7"/>
      <c r="U145" s="4"/>
      <c r="V145" s="5"/>
      <c r="W145" s="250"/>
      <c r="X145" s="250"/>
    </row>
    <row r="146" spans="2:24" s="49" customFormat="1" ht="16.5">
      <c r="B146" s="52"/>
      <c r="C146" s="52"/>
      <c r="D146" s="52"/>
      <c r="E146" s="40"/>
      <c r="F146" s="55"/>
      <c r="G146" s="40"/>
      <c r="H146" s="40"/>
      <c r="I146" s="67"/>
      <c r="J146" s="67"/>
      <c r="K146" s="40"/>
      <c r="L146" s="7"/>
      <c r="M146" s="7"/>
      <c r="N146" s="7"/>
      <c r="O146" s="7"/>
      <c r="P146" s="7"/>
      <c r="Q146" s="7"/>
      <c r="R146" s="7"/>
      <c r="S146" s="7"/>
      <c r="T146" s="7"/>
      <c r="U146" s="4"/>
      <c r="V146" s="5"/>
      <c r="W146" s="250"/>
      <c r="X146" s="250"/>
    </row>
    <row r="147" spans="2:24" s="49" customFormat="1" ht="16.5">
      <c r="B147" s="52"/>
      <c r="C147" s="52"/>
      <c r="D147" s="52"/>
      <c r="E147" s="40"/>
      <c r="F147" s="55"/>
      <c r="G147" s="40"/>
      <c r="H147" s="40"/>
      <c r="I147" s="67"/>
      <c r="J147" s="67"/>
      <c r="K147" s="40"/>
      <c r="L147" s="7"/>
      <c r="M147" s="7"/>
      <c r="N147" s="7"/>
      <c r="O147" s="7"/>
      <c r="P147" s="7"/>
      <c r="Q147" s="7"/>
      <c r="R147" s="7"/>
      <c r="S147" s="7"/>
      <c r="T147" s="7"/>
      <c r="U147" s="4"/>
      <c r="V147" s="5"/>
      <c r="W147" s="250"/>
      <c r="X147" s="250"/>
    </row>
    <row r="148" spans="2:24" ht="16.5">
      <c r="B148" s="90" t="s">
        <v>240</v>
      </c>
      <c r="C148" s="90"/>
      <c r="D148" s="90"/>
      <c r="E148" s="91">
        <f>SUM(E144:E144)</f>
        <v>112.5</v>
      </c>
      <c r="F148" s="90"/>
      <c r="G148" s="91">
        <f>SUM(G144:G144)</f>
        <v>0</v>
      </c>
      <c r="H148" s="91">
        <f>SUM(H144:H144)</f>
        <v>0</v>
      </c>
      <c r="I148" s="90"/>
      <c r="J148" s="90"/>
      <c r="K148" s="91">
        <f>SUM(K144:K144)</f>
        <v>0</v>
      </c>
      <c r="L148" s="91"/>
      <c r="M148" s="91">
        <f>SUM(M144:M144)</f>
        <v>0</v>
      </c>
      <c r="N148" s="91"/>
      <c r="O148" s="91"/>
      <c r="P148" s="91"/>
      <c r="Q148" s="91"/>
      <c r="R148" s="91"/>
      <c r="S148" s="91"/>
      <c r="T148" s="91"/>
      <c r="U148" s="91">
        <f>SUM(U144:U144)</f>
        <v>0</v>
      </c>
      <c r="V148" s="90"/>
      <c r="W148" s="257"/>
      <c r="X148" s="257"/>
    </row>
    <row r="149" spans="1:24" s="74" customFormat="1" ht="20.25" customHeight="1">
      <c r="A149" s="23"/>
      <c r="B149" s="92" t="s">
        <v>388</v>
      </c>
      <c r="C149" s="95"/>
      <c r="D149" s="95"/>
      <c r="E149" s="95"/>
      <c r="F149" s="95"/>
      <c r="G149" s="95"/>
      <c r="H149" s="94"/>
      <c r="I149" s="95"/>
      <c r="J149" s="95"/>
      <c r="K149" s="95"/>
      <c r="L149" s="95"/>
      <c r="M149" s="95"/>
      <c r="N149" s="95"/>
      <c r="O149" s="95"/>
      <c r="P149" s="95"/>
      <c r="Q149" s="95"/>
      <c r="R149" s="95"/>
      <c r="S149" s="95"/>
      <c r="T149" s="95"/>
      <c r="U149" s="95"/>
      <c r="V149" s="95"/>
      <c r="W149" s="95"/>
      <c r="X149" s="95"/>
    </row>
    <row r="150" spans="2:24" s="49" customFormat="1" ht="66">
      <c r="B150" s="313" t="s">
        <v>270</v>
      </c>
      <c r="C150" s="313" t="s">
        <v>190</v>
      </c>
      <c r="D150" s="313" t="s">
        <v>191</v>
      </c>
      <c r="E150" s="298">
        <v>7137</v>
      </c>
      <c r="F150" s="55" t="s">
        <v>389</v>
      </c>
      <c r="G150" s="40">
        <f>+(609544)/1000</f>
        <v>609.544</v>
      </c>
      <c r="H150" s="40">
        <v>1944</v>
      </c>
      <c r="I150" s="67">
        <v>364325</v>
      </c>
      <c r="J150" s="67">
        <v>150000</v>
      </c>
      <c r="K150" s="40">
        <v>1148.33455</v>
      </c>
      <c r="L150" s="7"/>
      <c r="M150" s="7"/>
      <c r="N150" s="7"/>
      <c r="O150" s="7"/>
      <c r="P150" s="7"/>
      <c r="Q150" s="7"/>
      <c r="R150" s="7"/>
      <c r="S150" s="7"/>
      <c r="T150" s="7"/>
      <c r="U150" s="4">
        <f>+P150+Q150+R150+S150+T150</f>
        <v>0</v>
      </c>
      <c r="V150" s="5"/>
      <c r="W150" s="250"/>
      <c r="X150" s="250"/>
    </row>
    <row r="151" spans="2:24" s="49" customFormat="1" ht="66">
      <c r="B151" s="314"/>
      <c r="C151" s="314"/>
      <c r="D151" s="314"/>
      <c r="E151" s="299"/>
      <c r="F151" s="55" t="s">
        <v>335</v>
      </c>
      <c r="G151" s="40">
        <v>0</v>
      </c>
      <c r="H151" s="40">
        <v>0</v>
      </c>
      <c r="I151" s="40">
        <v>0</v>
      </c>
      <c r="J151" s="67">
        <v>50000</v>
      </c>
      <c r="K151" s="40">
        <v>473.74882</v>
      </c>
      <c r="L151" s="7"/>
      <c r="M151" s="7"/>
      <c r="N151" s="7"/>
      <c r="O151" s="7"/>
      <c r="P151" s="7"/>
      <c r="Q151" s="7"/>
      <c r="R151" s="7"/>
      <c r="S151" s="7"/>
      <c r="T151" s="7"/>
      <c r="U151" s="4">
        <f>+P151+Q151+R151+S151+T151</f>
        <v>0</v>
      </c>
      <c r="V151" s="5"/>
      <c r="W151" s="250"/>
      <c r="X151" s="250"/>
    </row>
    <row r="152" spans="2:24" ht="16.5">
      <c r="B152" s="90" t="s">
        <v>240</v>
      </c>
      <c r="C152" s="90"/>
      <c r="D152" s="90"/>
      <c r="E152" s="91">
        <f>SUM(E150)</f>
        <v>7137</v>
      </c>
      <c r="F152" s="90"/>
      <c r="G152" s="91">
        <f>SUM(G150)</f>
        <v>609.544</v>
      </c>
      <c r="H152" s="91">
        <f>SUM(H150)</f>
        <v>1944</v>
      </c>
      <c r="I152" s="90"/>
      <c r="J152" s="90"/>
      <c r="K152" s="91">
        <f>SUM(K150)</f>
        <v>1148.33455</v>
      </c>
      <c r="L152" s="91"/>
      <c r="M152" s="91">
        <f>SUM(M150)</f>
        <v>0</v>
      </c>
      <c r="N152" s="91"/>
      <c r="O152" s="91"/>
      <c r="P152" s="91"/>
      <c r="Q152" s="91"/>
      <c r="R152" s="91"/>
      <c r="S152" s="91"/>
      <c r="T152" s="91"/>
      <c r="U152" s="91">
        <f>SUM(U150,U151)</f>
        <v>0</v>
      </c>
      <c r="V152" s="90"/>
      <c r="W152" s="257"/>
      <c r="X152" s="257"/>
    </row>
    <row r="153" spans="2:24" ht="30" customHeight="1">
      <c r="B153" s="90" t="s">
        <v>297</v>
      </c>
      <c r="C153" s="90"/>
      <c r="D153" s="90"/>
      <c r="E153" s="91">
        <f>E152+E142+E138+E134+E128</f>
        <v>141703</v>
      </c>
      <c r="F153" s="90"/>
      <c r="G153" s="91">
        <f>G152+G142+G138+G134+G148+G128</f>
        <v>14960.544</v>
      </c>
      <c r="H153" s="91">
        <f>H152+H142+H138+H134+H148+H128</f>
        <v>17628.3</v>
      </c>
      <c r="I153" s="90"/>
      <c r="J153" s="90"/>
      <c r="K153" s="91">
        <f>K152+K142+K138+K134+K148+K128</f>
        <v>19099.33455</v>
      </c>
      <c r="L153" s="91"/>
      <c r="M153" s="91">
        <f>M152+M142+M138+M134+M148+M128</f>
        <v>0</v>
      </c>
      <c r="N153" s="91"/>
      <c r="O153" s="91"/>
      <c r="P153" s="91"/>
      <c r="Q153" s="91"/>
      <c r="R153" s="91"/>
      <c r="S153" s="91"/>
      <c r="T153" s="91"/>
      <c r="U153" s="91">
        <f>U152+U142+U138+U134+U148+U128</f>
        <v>0</v>
      </c>
      <c r="V153" s="90"/>
      <c r="W153" s="258"/>
      <c r="X153" s="258"/>
    </row>
    <row r="154" spans="2:24" ht="31.5" customHeight="1">
      <c r="B154" s="32" t="s">
        <v>390</v>
      </c>
      <c r="C154" s="77"/>
      <c r="D154" s="77"/>
      <c r="E154" s="77"/>
      <c r="F154" s="77"/>
      <c r="G154" s="77"/>
      <c r="H154" s="77"/>
      <c r="I154" s="77"/>
      <c r="J154" s="77"/>
      <c r="K154" s="77"/>
      <c r="L154" s="77"/>
      <c r="M154" s="77"/>
      <c r="N154" s="77"/>
      <c r="O154" s="77"/>
      <c r="P154" s="77"/>
      <c r="Q154" s="77"/>
      <c r="R154" s="77"/>
      <c r="S154" s="77"/>
      <c r="T154" s="77"/>
      <c r="U154" s="77"/>
      <c r="V154" s="77"/>
      <c r="W154" s="77"/>
      <c r="X154" s="77"/>
    </row>
    <row r="155" spans="1:24" s="74" customFormat="1" ht="23.25" customHeight="1">
      <c r="A155" s="23"/>
      <c r="B155" s="87" t="s">
        <v>391</v>
      </c>
      <c r="C155" s="88"/>
      <c r="D155" s="88"/>
      <c r="E155" s="88"/>
      <c r="F155" s="88"/>
      <c r="G155" s="88"/>
      <c r="H155" s="89"/>
      <c r="I155" s="88"/>
      <c r="J155" s="88"/>
      <c r="K155" s="88"/>
      <c r="L155" s="88"/>
      <c r="M155" s="88"/>
      <c r="N155" s="88"/>
      <c r="O155" s="88"/>
      <c r="P155" s="88"/>
      <c r="Q155" s="88"/>
      <c r="R155" s="88"/>
      <c r="S155" s="88"/>
      <c r="T155" s="88"/>
      <c r="U155" s="88"/>
      <c r="V155" s="88"/>
      <c r="W155" s="88"/>
      <c r="X155" s="88"/>
    </row>
    <row r="156" spans="2:24" s="49" customFormat="1" ht="148.5">
      <c r="B156" s="100" t="s">
        <v>392</v>
      </c>
      <c r="C156" s="100" t="s">
        <v>393</v>
      </c>
      <c r="D156" s="100" t="s">
        <v>198</v>
      </c>
      <c r="E156" s="54">
        <v>55805</v>
      </c>
      <c r="F156" s="100" t="s">
        <v>394</v>
      </c>
      <c r="G156" s="101">
        <v>349</v>
      </c>
      <c r="H156" s="54">
        <v>1662</v>
      </c>
      <c r="I156" s="102">
        <v>1200</v>
      </c>
      <c r="J156" s="38" t="s">
        <v>24</v>
      </c>
      <c r="K156" s="103">
        <f>500000000/1000000</f>
        <v>500</v>
      </c>
      <c r="L156" s="171"/>
      <c r="M156" s="171"/>
      <c r="N156" s="171"/>
      <c r="O156" s="171"/>
      <c r="P156" s="171"/>
      <c r="Q156" s="171"/>
      <c r="R156" s="171"/>
      <c r="S156" s="171"/>
      <c r="T156" s="171"/>
      <c r="U156" s="4">
        <f>+P156+Q156+R156+S156+T156</f>
        <v>0</v>
      </c>
      <c r="V156" s="172"/>
      <c r="W156" s="250"/>
      <c r="X156" s="250"/>
    </row>
    <row r="157" spans="2:24" ht="16.5">
      <c r="B157" s="90" t="s">
        <v>240</v>
      </c>
      <c r="C157" s="90"/>
      <c r="D157" s="90"/>
      <c r="E157" s="91">
        <f>SUM(E156)</f>
        <v>55805</v>
      </c>
      <c r="F157" s="90"/>
      <c r="G157" s="91">
        <f>SUM(G156)</f>
        <v>349</v>
      </c>
      <c r="H157" s="91">
        <f>SUM(H156)</f>
        <v>1662</v>
      </c>
      <c r="I157" s="90"/>
      <c r="J157" s="90"/>
      <c r="K157" s="91">
        <f>SUM(K156)</f>
        <v>500</v>
      </c>
      <c r="L157" s="91"/>
      <c r="M157" s="91">
        <f>SUM(M156)</f>
        <v>0</v>
      </c>
      <c r="N157" s="91"/>
      <c r="O157" s="91"/>
      <c r="P157" s="91"/>
      <c r="Q157" s="91"/>
      <c r="R157" s="91"/>
      <c r="S157" s="91"/>
      <c r="T157" s="91"/>
      <c r="U157" s="91">
        <f>SUM(U156)</f>
        <v>0</v>
      </c>
      <c r="V157" s="90"/>
      <c r="W157" s="259"/>
      <c r="X157" s="259"/>
    </row>
    <row r="158" spans="1:24" s="74" customFormat="1" ht="23.25" customHeight="1">
      <c r="A158" s="23"/>
      <c r="B158" s="87" t="s">
        <v>403</v>
      </c>
      <c r="C158" s="88"/>
      <c r="D158" s="88"/>
      <c r="E158" s="88"/>
      <c r="F158" s="88"/>
      <c r="G158" s="88"/>
      <c r="H158" s="89"/>
      <c r="I158" s="88"/>
      <c r="J158" s="88"/>
      <c r="K158" s="88"/>
      <c r="L158" s="88"/>
      <c r="M158" s="88"/>
      <c r="N158" s="88"/>
      <c r="O158" s="88"/>
      <c r="P158" s="88"/>
      <c r="Q158" s="88"/>
      <c r="R158" s="88"/>
      <c r="S158" s="88"/>
      <c r="T158" s="88"/>
      <c r="U158" s="88"/>
      <c r="V158" s="88"/>
      <c r="W158" s="88"/>
      <c r="X158" s="88"/>
    </row>
    <row r="159" spans="2:24" s="49" customFormat="1" ht="16.5">
      <c r="B159" s="234"/>
      <c r="C159" s="234"/>
      <c r="D159" s="234"/>
      <c r="E159" s="235"/>
      <c r="F159" s="100"/>
      <c r="G159" s="101"/>
      <c r="H159" s="54"/>
      <c r="I159" s="102"/>
      <c r="J159" s="38"/>
      <c r="K159" s="103"/>
      <c r="L159" s="171"/>
      <c r="M159" s="171"/>
      <c r="N159" s="171"/>
      <c r="O159" s="171"/>
      <c r="P159" s="171"/>
      <c r="Q159" s="171"/>
      <c r="R159" s="171"/>
      <c r="S159" s="171"/>
      <c r="T159" s="171"/>
      <c r="U159" s="4">
        <f>+P159+Q159+R159+S159+T159</f>
        <v>0</v>
      </c>
      <c r="V159" s="172"/>
      <c r="W159" s="250"/>
      <c r="X159" s="250"/>
    </row>
    <row r="160" spans="2:24" s="49" customFormat="1" ht="16.5">
      <c r="B160" s="234"/>
      <c r="C160" s="234"/>
      <c r="D160" s="234"/>
      <c r="E160" s="235"/>
      <c r="F160" s="100"/>
      <c r="G160" s="101"/>
      <c r="H160" s="54"/>
      <c r="I160" s="102"/>
      <c r="J160" s="38"/>
      <c r="K160" s="103"/>
      <c r="L160" s="171"/>
      <c r="M160" s="171"/>
      <c r="N160" s="171"/>
      <c r="O160" s="171"/>
      <c r="P160" s="171"/>
      <c r="Q160" s="171"/>
      <c r="R160" s="171"/>
      <c r="S160" s="171"/>
      <c r="T160" s="171"/>
      <c r="U160" s="4">
        <f>+P160+Q160+R160+S160+T160</f>
        <v>0</v>
      </c>
      <c r="V160" s="172"/>
      <c r="W160" s="250"/>
      <c r="X160" s="250"/>
    </row>
    <row r="161" spans="2:24" ht="16.5">
      <c r="B161" s="90" t="s">
        <v>240</v>
      </c>
      <c r="C161" s="90"/>
      <c r="D161" s="90"/>
      <c r="E161" s="91">
        <f>SUM(E159:E160)</f>
        <v>0</v>
      </c>
      <c r="F161" s="90"/>
      <c r="G161" s="91">
        <f>SUM(G159:G160)</f>
        <v>0</v>
      </c>
      <c r="H161" s="91">
        <f>SUM(H159:H160)</f>
        <v>0</v>
      </c>
      <c r="I161" s="90"/>
      <c r="J161" s="90"/>
      <c r="K161" s="91">
        <f>SUM(K159:K160)</f>
        <v>0</v>
      </c>
      <c r="L161" s="91"/>
      <c r="M161" s="91">
        <f>SUM(M159:M160)</f>
        <v>0</v>
      </c>
      <c r="N161" s="91"/>
      <c r="O161" s="91"/>
      <c r="P161" s="91"/>
      <c r="Q161" s="91"/>
      <c r="R161" s="91"/>
      <c r="S161" s="91"/>
      <c r="T161" s="91"/>
      <c r="U161" s="91">
        <f>SUM(U159:U160)</f>
        <v>0</v>
      </c>
      <c r="V161" s="90"/>
      <c r="W161" s="90"/>
      <c r="X161" s="90"/>
    </row>
    <row r="162" spans="1:24" s="74" customFormat="1" ht="23.25" customHeight="1">
      <c r="A162" s="23"/>
      <c r="B162" s="87" t="s">
        <v>404</v>
      </c>
      <c r="C162" s="88"/>
      <c r="D162" s="88"/>
      <c r="E162" s="88"/>
      <c r="F162" s="88"/>
      <c r="G162" s="88"/>
      <c r="H162" s="89"/>
      <c r="I162" s="88"/>
      <c r="J162" s="88"/>
      <c r="K162" s="88"/>
      <c r="L162" s="88"/>
      <c r="M162" s="88"/>
      <c r="N162" s="88"/>
      <c r="O162" s="88"/>
      <c r="P162" s="88"/>
      <c r="Q162" s="88"/>
      <c r="R162" s="88"/>
      <c r="S162" s="88"/>
      <c r="T162" s="88"/>
      <c r="U162" s="88"/>
      <c r="V162" s="88"/>
      <c r="W162" s="88"/>
      <c r="X162" s="88"/>
    </row>
    <row r="163" spans="2:24" s="49" customFormat="1" ht="16.5">
      <c r="B163" s="234"/>
      <c r="C163" s="234"/>
      <c r="D163" s="234"/>
      <c r="E163" s="235"/>
      <c r="F163" s="100"/>
      <c r="G163" s="101"/>
      <c r="H163" s="54"/>
      <c r="I163" s="102"/>
      <c r="J163" s="38"/>
      <c r="K163" s="103"/>
      <c r="L163" s="171"/>
      <c r="M163" s="171"/>
      <c r="N163" s="171"/>
      <c r="O163" s="171"/>
      <c r="P163" s="171"/>
      <c r="Q163" s="171"/>
      <c r="R163" s="171"/>
      <c r="S163" s="171"/>
      <c r="T163" s="171"/>
      <c r="U163" s="4">
        <f>+P163+Q163+R163+S163+T163</f>
        <v>0</v>
      </c>
      <c r="V163" s="172"/>
      <c r="W163" s="250"/>
      <c r="X163" s="250"/>
    </row>
    <row r="164" spans="2:24" s="49" customFormat="1" ht="16.5">
      <c r="B164" s="234"/>
      <c r="C164" s="234"/>
      <c r="D164" s="234"/>
      <c r="E164" s="235"/>
      <c r="F164" s="100"/>
      <c r="G164" s="101"/>
      <c r="H164" s="54"/>
      <c r="I164" s="102"/>
      <c r="J164" s="38"/>
      <c r="K164" s="103"/>
      <c r="L164" s="171"/>
      <c r="M164" s="171"/>
      <c r="N164" s="171"/>
      <c r="O164" s="171"/>
      <c r="P164" s="171"/>
      <c r="Q164" s="171"/>
      <c r="R164" s="171"/>
      <c r="S164" s="171"/>
      <c r="T164" s="171"/>
      <c r="U164" s="4">
        <f>+P164+Q164+R164+S164+T164</f>
        <v>0</v>
      </c>
      <c r="V164" s="172"/>
      <c r="W164" s="250"/>
      <c r="X164" s="250"/>
    </row>
    <row r="165" spans="2:24" ht="16.5">
      <c r="B165" s="90" t="s">
        <v>240</v>
      </c>
      <c r="C165" s="90"/>
      <c r="D165" s="90"/>
      <c r="E165" s="91">
        <f>SUM(E163:E164)</f>
        <v>0</v>
      </c>
      <c r="F165" s="90"/>
      <c r="G165" s="91">
        <f>SUM(G163:G164)</f>
        <v>0</v>
      </c>
      <c r="H165" s="91">
        <f>SUM(H163:H164)</f>
        <v>0</v>
      </c>
      <c r="I165" s="90"/>
      <c r="J165" s="90"/>
      <c r="K165" s="91">
        <f>SUM(K163:K164)</f>
        <v>0</v>
      </c>
      <c r="L165" s="91"/>
      <c r="M165" s="91">
        <f>SUM(M163:M164)</f>
        <v>0</v>
      </c>
      <c r="N165" s="91"/>
      <c r="O165" s="91"/>
      <c r="P165" s="91"/>
      <c r="Q165" s="91"/>
      <c r="R165" s="91"/>
      <c r="S165" s="91"/>
      <c r="T165" s="91"/>
      <c r="U165" s="91">
        <f>SUM(U163:U164)</f>
        <v>0</v>
      </c>
      <c r="V165" s="90"/>
      <c r="W165" s="90"/>
      <c r="X165" s="90"/>
    </row>
    <row r="166" spans="1:24" s="74" customFormat="1" ht="23.25" customHeight="1">
      <c r="A166" s="23"/>
      <c r="B166" s="87" t="s">
        <v>405</v>
      </c>
      <c r="C166" s="88"/>
      <c r="D166" s="88"/>
      <c r="E166" s="88"/>
      <c r="F166" s="88"/>
      <c r="G166" s="88"/>
      <c r="H166" s="89"/>
      <c r="I166" s="88"/>
      <c r="J166" s="88"/>
      <c r="K166" s="88"/>
      <c r="L166" s="88"/>
      <c r="M166" s="88"/>
      <c r="N166" s="88"/>
      <c r="O166" s="88"/>
      <c r="P166" s="88"/>
      <c r="Q166" s="88"/>
      <c r="R166" s="88"/>
      <c r="S166" s="88"/>
      <c r="T166" s="88"/>
      <c r="U166" s="88"/>
      <c r="V166" s="88"/>
      <c r="W166" s="88"/>
      <c r="X166" s="88"/>
    </row>
    <row r="167" spans="2:24" s="49" customFormat="1" ht="16.5">
      <c r="B167" s="234"/>
      <c r="C167" s="234"/>
      <c r="D167" s="234"/>
      <c r="E167" s="235"/>
      <c r="F167" s="100"/>
      <c r="G167" s="101"/>
      <c r="H167" s="54"/>
      <c r="I167" s="102"/>
      <c r="J167" s="38"/>
      <c r="K167" s="103"/>
      <c r="L167" s="171"/>
      <c r="M167" s="171"/>
      <c r="N167" s="171"/>
      <c r="O167" s="171"/>
      <c r="P167" s="171"/>
      <c r="Q167" s="171"/>
      <c r="R167" s="171"/>
      <c r="S167" s="171"/>
      <c r="T167" s="171"/>
      <c r="U167" s="4">
        <f>+P167+Q167+R167+S167+T167</f>
        <v>0</v>
      </c>
      <c r="V167" s="172"/>
      <c r="W167" s="250"/>
      <c r="X167" s="250"/>
    </row>
    <row r="168" spans="2:24" s="49" customFormat="1" ht="16.5">
      <c r="B168" s="234"/>
      <c r="C168" s="234"/>
      <c r="D168" s="234"/>
      <c r="E168" s="235"/>
      <c r="F168" s="100"/>
      <c r="G168" s="101"/>
      <c r="H168" s="54"/>
      <c r="I168" s="102"/>
      <c r="J168" s="38"/>
      <c r="K168" s="103"/>
      <c r="L168" s="171"/>
      <c r="M168" s="171"/>
      <c r="N168" s="171"/>
      <c r="O168" s="171"/>
      <c r="P168" s="171"/>
      <c r="Q168" s="171"/>
      <c r="R168" s="171"/>
      <c r="S168" s="171"/>
      <c r="T168" s="171"/>
      <c r="U168" s="4">
        <f>+P168+Q168+R168+S168+T168</f>
        <v>0</v>
      </c>
      <c r="V168" s="172"/>
      <c r="W168" s="250"/>
      <c r="X168" s="250"/>
    </row>
    <row r="169" spans="2:24" ht="16.5">
      <c r="B169" s="90" t="s">
        <v>240</v>
      </c>
      <c r="C169" s="90"/>
      <c r="D169" s="90"/>
      <c r="E169" s="91">
        <f>SUM(E167:E168)</f>
        <v>0</v>
      </c>
      <c r="F169" s="90"/>
      <c r="G169" s="91">
        <f>SUM(G167:G168)</f>
        <v>0</v>
      </c>
      <c r="H169" s="91">
        <f>SUM(H167:H168)</f>
        <v>0</v>
      </c>
      <c r="I169" s="90"/>
      <c r="J169" s="90"/>
      <c r="K169" s="91">
        <f>SUM(K167:K168)</f>
        <v>0</v>
      </c>
      <c r="L169" s="91"/>
      <c r="M169" s="91">
        <f>SUM(M167:M168)</f>
        <v>0</v>
      </c>
      <c r="N169" s="91"/>
      <c r="O169" s="91"/>
      <c r="P169" s="91"/>
      <c r="Q169" s="91"/>
      <c r="R169" s="91"/>
      <c r="S169" s="91"/>
      <c r="T169" s="91"/>
      <c r="U169" s="91">
        <f>SUM(U167:U168)</f>
        <v>0</v>
      </c>
      <c r="V169" s="90"/>
      <c r="W169" s="90"/>
      <c r="X169" s="90"/>
    </row>
    <row r="170" spans="2:24" ht="16.5">
      <c r="B170" s="104" t="s">
        <v>297</v>
      </c>
      <c r="C170" s="104"/>
      <c r="D170" s="104"/>
      <c r="E170" s="105">
        <f>+E157+E161+E165+E169</f>
        <v>55805</v>
      </c>
      <c r="F170" s="104"/>
      <c r="G170" s="105">
        <f>+G157+G161+G165+G169</f>
        <v>349</v>
      </c>
      <c r="H170" s="105">
        <f>+H157+H161+H165+H169</f>
        <v>1662</v>
      </c>
      <c r="I170" s="104"/>
      <c r="J170" s="104"/>
      <c r="K170" s="105">
        <f>+K157+K161+K165+K169</f>
        <v>500</v>
      </c>
      <c r="L170" s="105"/>
      <c r="M170" s="105">
        <f>+M157+M161+M165+M169</f>
        <v>0</v>
      </c>
      <c r="N170" s="105"/>
      <c r="O170" s="105"/>
      <c r="P170" s="105"/>
      <c r="Q170" s="105"/>
      <c r="R170" s="105"/>
      <c r="S170" s="105"/>
      <c r="T170" s="105"/>
      <c r="U170" s="105">
        <f>+U157+U161+U165+U169</f>
        <v>0</v>
      </c>
      <c r="V170" s="104"/>
      <c r="W170" s="104"/>
      <c r="X170" s="104"/>
    </row>
    <row r="171" spans="2:24" s="106" customFormat="1" ht="27" customHeight="1">
      <c r="B171" s="32" t="s">
        <v>395</v>
      </c>
      <c r="C171" s="77"/>
      <c r="D171" s="77"/>
      <c r="E171" s="77"/>
      <c r="F171" s="77"/>
      <c r="G171" s="77"/>
      <c r="H171" s="77"/>
      <c r="I171" s="77"/>
      <c r="J171" s="77"/>
      <c r="K171" s="77"/>
      <c r="L171" s="77"/>
      <c r="M171" s="77"/>
      <c r="N171" s="77"/>
      <c r="O171" s="77"/>
      <c r="P171" s="77"/>
      <c r="Q171" s="77"/>
      <c r="R171" s="77"/>
      <c r="S171" s="77"/>
      <c r="T171" s="77"/>
      <c r="U171" s="77"/>
      <c r="V171" s="77"/>
      <c r="W171" s="77"/>
      <c r="X171" s="77"/>
    </row>
    <row r="172" spans="1:24" s="108" customFormat="1" ht="19.5" customHeight="1">
      <c r="A172" s="107"/>
      <c r="B172" s="34" t="s">
        <v>396</v>
      </c>
      <c r="C172" s="36"/>
      <c r="D172" s="36"/>
      <c r="E172" s="36"/>
      <c r="F172" s="36"/>
      <c r="G172" s="36"/>
      <c r="H172" s="29"/>
      <c r="I172" s="36"/>
      <c r="J172" s="36"/>
      <c r="K172" s="36"/>
      <c r="L172" s="36"/>
      <c r="M172" s="36"/>
      <c r="N172" s="36"/>
      <c r="O172" s="36"/>
      <c r="P172" s="36"/>
      <c r="Q172" s="36"/>
      <c r="R172" s="36"/>
      <c r="S172" s="36"/>
      <c r="T172" s="36"/>
      <c r="U172" s="36"/>
      <c r="V172" s="36"/>
      <c r="W172" s="36"/>
      <c r="X172" s="36"/>
    </row>
    <row r="173" spans="2:24" s="109" customFormat="1" ht="99">
      <c r="B173" s="52" t="s">
        <v>397</v>
      </c>
      <c r="C173" s="39" t="s">
        <v>398</v>
      </c>
      <c r="D173" s="53" t="s">
        <v>399</v>
      </c>
      <c r="E173" s="54">
        <f>210+120+136.5+199.9+291.1</f>
        <v>957.5</v>
      </c>
      <c r="F173" s="53" t="s">
        <v>400</v>
      </c>
      <c r="G173" s="54">
        <v>210</v>
      </c>
      <c r="H173" s="54">
        <v>120</v>
      </c>
      <c r="I173" s="110" t="s">
        <v>70</v>
      </c>
      <c r="J173" s="111" t="s">
        <v>25</v>
      </c>
      <c r="K173" s="40">
        <v>120</v>
      </c>
      <c r="L173" s="7"/>
      <c r="M173" s="7"/>
      <c r="N173" s="7"/>
      <c r="O173" s="7"/>
      <c r="P173" s="7"/>
      <c r="Q173" s="7"/>
      <c r="R173" s="7"/>
      <c r="S173" s="7"/>
      <c r="T173" s="7"/>
      <c r="U173" s="4">
        <f>+P173+Q173+R173+S173+T173</f>
        <v>0</v>
      </c>
      <c r="V173" s="173"/>
      <c r="W173" s="250"/>
      <c r="X173" s="250"/>
    </row>
    <row r="174" spans="2:24" s="109" customFormat="1" ht="99">
      <c r="B174" s="310" t="s">
        <v>401</v>
      </c>
      <c r="C174" s="310" t="s">
        <v>402</v>
      </c>
      <c r="D174" s="53" t="s">
        <v>408</v>
      </c>
      <c r="E174" s="54">
        <f>42.0478+45+47+46</f>
        <v>180.0478</v>
      </c>
      <c r="F174" s="319" t="s">
        <v>409</v>
      </c>
      <c r="G174" s="54">
        <v>0</v>
      </c>
      <c r="H174" s="54">
        <v>0</v>
      </c>
      <c r="I174" s="112">
        <v>40</v>
      </c>
      <c r="J174" s="80" t="s">
        <v>26</v>
      </c>
      <c r="K174" s="40">
        <v>60</v>
      </c>
      <c r="L174" s="7"/>
      <c r="M174" s="7"/>
      <c r="N174" s="7"/>
      <c r="O174" s="7"/>
      <c r="P174" s="7"/>
      <c r="Q174" s="7"/>
      <c r="R174" s="7"/>
      <c r="S174" s="7"/>
      <c r="T174" s="7"/>
      <c r="U174" s="4">
        <f aca="true" t="shared" si="5" ref="U174:U180">+P174+Q174+R174+S174+T174</f>
        <v>0</v>
      </c>
      <c r="V174" s="173"/>
      <c r="W174" s="250"/>
      <c r="X174" s="250"/>
    </row>
    <row r="175" spans="2:24" s="113" customFormat="1" ht="67.5" customHeight="1">
      <c r="B175" s="310"/>
      <c r="C175" s="310"/>
      <c r="D175" s="310" t="s">
        <v>410</v>
      </c>
      <c r="E175" s="54">
        <f>28.81809+30+31.5+32.8</f>
        <v>123.11809</v>
      </c>
      <c r="F175" s="319"/>
      <c r="G175" s="54">
        <v>0</v>
      </c>
      <c r="H175" s="54">
        <v>80</v>
      </c>
      <c r="I175" s="53" t="s">
        <v>71</v>
      </c>
      <c r="J175" s="38">
        <v>600</v>
      </c>
      <c r="K175" s="40">
        <v>100</v>
      </c>
      <c r="L175" s="7"/>
      <c r="M175" s="7"/>
      <c r="N175" s="7"/>
      <c r="O175" s="7"/>
      <c r="P175" s="7"/>
      <c r="Q175" s="7"/>
      <c r="R175" s="7"/>
      <c r="S175" s="7"/>
      <c r="T175" s="7"/>
      <c r="U175" s="4">
        <f t="shared" si="5"/>
        <v>0</v>
      </c>
      <c r="V175" s="173"/>
      <c r="W175" s="250"/>
      <c r="X175" s="250"/>
    </row>
    <row r="176" spans="2:24" s="113" customFormat="1" ht="84.75" customHeight="1">
      <c r="B176" s="310"/>
      <c r="C176" s="310"/>
      <c r="D176" s="310"/>
      <c r="E176" s="54">
        <f>154+155+155.2+156</f>
        <v>620.2</v>
      </c>
      <c r="F176" s="319"/>
      <c r="G176" s="54">
        <v>0</v>
      </c>
      <c r="H176" s="54">
        <v>0</v>
      </c>
      <c r="I176" s="112">
        <v>0</v>
      </c>
      <c r="J176" s="80">
        <v>200</v>
      </c>
      <c r="K176" s="40">
        <v>102</v>
      </c>
      <c r="L176" s="7"/>
      <c r="M176" s="7"/>
      <c r="N176" s="7"/>
      <c r="O176" s="7"/>
      <c r="P176" s="7"/>
      <c r="Q176" s="7"/>
      <c r="R176" s="7"/>
      <c r="S176" s="7"/>
      <c r="T176" s="7"/>
      <c r="U176" s="4">
        <f t="shared" si="5"/>
        <v>0</v>
      </c>
      <c r="V176" s="173"/>
      <c r="W176" s="250"/>
      <c r="X176" s="250"/>
    </row>
    <row r="177" spans="2:24" s="113" customFormat="1" ht="82.5">
      <c r="B177" s="310"/>
      <c r="C177" s="310"/>
      <c r="D177" s="53" t="s">
        <v>411</v>
      </c>
      <c r="E177" s="54">
        <f>91.595+93.5+94.2+95.2</f>
        <v>374.495</v>
      </c>
      <c r="F177" s="319"/>
      <c r="G177" s="54">
        <v>0</v>
      </c>
      <c r="H177" s="54">
        <v>167</v>
      </c>
      <c r="I177" s="112">
        <v>137</v>
      </c>
      <c r="J177" s="80">
        <v>12</v>
      </c>
      <c r="K177" s="40">
        <v>32</v>
      </c>
      <c r="L177" s="7"/>
      <c r="M177" s="7"/>
      <c r="N177" s="7"/>
      <c r="O177" s="7"/>
      <c r="P177" s="7"/>
      <c r="Q177" s="7"/>
      <c r="R177" s="7"/>
      <c r="S177" s="7"/>
      <c r="T177" s="7"/>
      <c r="U177" s="4">
        <f t="shared" si="5"/>
        <v>0</v>
      </c>
      <c r="V177" s="173"/>
      <c r="W177" s="250"/>
      <c r="X177" s="250"/>
    </row>
    <row r="178" spans="2:24" s="114" customFormat="1" ht="264">
      <c r="B178" s="52" t="s">
        <v>412</v>
      </c>
      <c r="C178" s="39" t="s">
        <v>413</v>
      </c>
      <c r="D178" s="53" t="s">
        <v>414</v>
      </c>
      <c r="E178" s="54">
        <v>4740.652932</v>
      </c>
      <c r="F178" s="53" t="s">
        <v>415</v>
      </c>
      <c r="G178" s="54">
        <v>788.5</v>
      </c>
      <c r="H178" s="54">
        <v>722.5</v>
      </c>
      <c r="I178" s="53" t="s">
        <v>72</v>
      </c>
      <c r="J178" s="38" t="s">
        <v>27</v>
      </c>
      <c r="K178" s="40">
        <v>451.92</v>
      </c>
      <c r="L178" s="7"/>
      <c r="M178" s="7"/>
      <c r="N178" s="7"/>
      <c r="O178" s="7"/>
      <c r="P178" s="7"/>
      <c r="Q178" s="7"/>
      <c r="R178" s="7"/>
      <c r="S178" s="7"/>
      <c r="T178" s="7"/>
      <c r="U178" s="4">
        <f t="shared" si="5"/>
        <v>0</v>
      </c>
      <c r="V178" s="9"/>
      <c r="W178" s="250"/>
      <c r="X178" s="250"/>
    </row>
    <row r="179" spans="2:24" s="114" customFormat="1" ht="130.5" customHeight="1">
      <c r="B179" s="310" t="s">
        <v>397</v>
      </c>
      <c r="C179" s="315" t="s">
        <v>416</v>
      </c>
      <c r="D179" s="53" t="s">
        <v>104</v>
      </c>
      <c r="E179" s="54">
        <v>730</v>
      </c>
      <c r="F179" s="319" t="s">
        <v>110</v>
      </c>
      <c r="G179" s="54">
        <v>75.982652</v>
      </c>
      <c r="H179" s="54">
        <v>71</v>
      </c>
      <c r="I179" s="53" t="s">
        <v>73</v>
      </c>
      <c r="J179" s="38" t="s">
        <v>28</v>
      </c>
      <c r="K179" s="40">
        <f>36+30</f>
        <v>66</v>
      </c>
      <c r="L179" s="7"/>
      <c r="M179" s="7"/>
      <c r="N179" s="7"/>
      <c r="O179" s="7"/>
      <c r="P179" s="7"/>
      <c r="Q179" s="7"/>
      <c r="R179" s="7"/>
      <c r="S179" s="7"/>
      <c r="T179" s="7"/>
      <c r="U179" s="4">
        <f t="shared" si="5"/>
        <v>0</v>
      </c>
      <c r="V179" s="173"/>
      <c r="W179" s="250"/>
      <c r="X179" s="250"/>
    </row>
    <row r="180" spans="2:24" s="109" customFormat="1" ht="115.5">
      <c r="B180" s="310"/>
      <c r="C180" s="315"/>
      <c r="D180" s="53" t="s">
        <v>82</v>
      </c>
      <c r="E180" s="54">
        <v>428</v>
      </c>
      <c r="F180" s="319"/>
      <c r="G180" s="54">
        <v>17.556598</v>
      </c>
      <c r="H180" s="54">
        <v>113</v>
      </c>
      <c r="I180" s="115" t="s">
        <v>74</v>
      </c>
      <c r="J180" s="115" t="s">
        <v>29</v>
      </c>
      <c r="K180" s="50">
        <f>110+20+80</f>
        <v>210</v>
      </c>
      <c r="L180" s="13"/>
      <c r="M180" s="13"/>
      <c r="N180" s="13"/>
      <c r="O180" s="13"/>
      <c r="P180" s="13"/>
      <c r="Q180" s="13"/>
      <c r="R180" s="13"/>
      <c r="S180" s="13"/>
      <c r="T180" s="13"/>
      <c r="U180" s="4">
        <f t="shared" si="5"/>
        <v>0</v>
      </c>
      <c r="V180" s="173"/>
      <c r="W180" s="250"/>
      <c r="X180" s="250"/>
    </row>
    <row r="181" spans="2:24" s="116" customFormat="1" ht="16.5">
      <c r="B181" s="293" t="s">
        <v>240</v>
      </c>
      <c r="C181" s="293"/>
      <c r="D181" s="293"/>
      <c r="E181" s="27">
        <f>SUM(E173:E180)</f>
        <v>8154.013822</v>
      </c>
      <c r="F181" s="44"/>
      <c r="G181" s="27">
        <f>SUM(G173:G180)</f>
        <v>1092.0392499999998</v>
      </c>
      <c r="H181" s="27">
        <f>SUM(H173:H180)</f>
        <v>1273.5</v>
      </c>
      <c r="I181" s="44"/>
      <c r="J181" s="44"/>
      <c r="K181" s="27">
        <f>SUM(K173:K180)</f>
        <v>1141.92</v>
      </c>
      <c r="L181" s="27"/>
      <c r="M181" s="27">
        <f>SUM(M173:M180)</f>
        <v>0</v>
      </c>
      <c r="N181" s="27"/>
      <c r="O181" s="27"/>
      <c r="P181" s="27"/>
      <c r="Q181" s="27"/>
      <c r="R181" s="27"/>
      <c r="S181" s="27"/>
      <c r="T181" s="27"/>
      <c r="U181" s="27">
        <f>SUM(U173:U180)</f>
        <v>0</v>
      </c>
      <c r="V181" s="44"/>
      <c r="W181" s="255"/>
      <c r="X181" s="255"/>
    </row>
    <row r="182" spans="1:24" s="74" customFormat="1" ht="20.25" customHeight="1">
      <c r="A182" s="23"/>
      <c r="B182" s="34" t="s">
        <v>83</v>
      </c>
      <c r="C182" s="35"/>
      <c r="D182" s="35"/>
      <c r="E182" s="35"/>
      <c r="F182" s="35"/>
      <c r="G182" s="35"/>
      <c r="H182" s="29"/>
      <c r="I182" s="36"/>
      <c r="J182" s="36"/>
      <c r="K182" s="36"/>
      <c r="L182" s="36"/>
      <c r="M182" s="36"/>
      <c r="N182" s="36"/>
      <c r="O182" s="36"/>
      <c r="P182" s="36"/>
      <c r="Q182" s="36"/>
      <c r="R182" s="36"/>
      <c r="S182" s="36"/>
      <c r="T182" s="36"/>
      <c r="U182" s="36"/>
      <c r="V182" s="36"/>
      <c r="W182" s="36"/>
      <c r="X182" s="36"/>
    </row>
    <row r="183" spans="2:24" s="49" customFormat="1" ht="99">
      <c r="B183" s="39" t="s">
        <v>84</v>
      </c>
      <c r="C183" s="39" t="s">
        <v>85</v>
      </c>
      <c r="D183" s="39" t="s">
        <v>86</v>
      </c>
      <c r="E183" s="40">
        <v>5000</v>
      </c>
      <c r="F183" s="39" t="s">
        <v>87</v>
      </c>
      <c r="G183" s="40">
        <v>59.7</v>
      </c>
      <c r="H183" s="40">
        <v>183</v>
      </c>
      <c r="I183" s="43" t="s">
        <v>100</v>
      </c>
      <c r="J183" s="43" t="s">
        <v>30</v>
      </c>
      <c r="K183" s="40">
        <v>300</v>
      </c>
      <c r="L183" s="7"/>
      <c r="M183" s="7"/>
      <c r="N183" s="7"/>
      <c r="O183" s="7"/>
      <c r="P183" s="7"/>
      <c r="Q183" s="7"/>
      <c r="R183" s="7"/>
      <c r="S183" s="7"/>
      <c r="T183" s="7"/>
      <c r="U183" s="4">
        <f>+P183+Q183+R183+S183+T183</f>
        <v>0</v>
      </c>
      <c r="V183" s="173"/>
      <c r="W183" s="250"/>
      <c r="X183" s="250"/>
    </row>
    <row r="184" spans="2:24" s="49" customFormat="1" ht="99">
      <c r="B184" s="39" t="s">
        <v>84</v>
      </c>
      <c r="C184" s="39" t="s">
        <v>85</v>
      </c>
      <c r="D184" s="39" t="s">
        <v>299</v>
      </c>
      <c r="E184" s="40">
        <v>800</v>
      </c>
      <c r="F184" s="39" t="s">
        <v>300</v>
      </c>
      <c r="G184" s="40">
        <v>0</v>
      </c>
      <c r="H184" s="40">
        <v>630</v>
      </c>
      <c r="I184" s="43" t="s">
        <v>101</v>
      </c>
      <c r="J184" s="43" t="s">
        <v>31</v>
      </c>
      <c r="K184" s="40">
        <v>0</v>
      </c>
      <c r="L184" s="7"/>
      <c r="M184" s="7"/>
      <c r="N184" s="7"/>
      <c r="O184" s="7"/>
      <c r="P184" s="7"/>
      <c r="Q184" s="7"/>
      <c r="R184" s="7"/>
      <c r="S184" s="7"/>
      <c r="T184" s="7"/>
      <c r="U184" s="4">
        <f>+P184+Q184+R184+S184+T184</f>
        <v>0</v>
      </c>
      <c r="V184" s="173"/>
      <c r="W184" s="250"/>
      <c r="X184" s="250"/>
    </row>
    <row r="185" spans="2:24" s="49" customFormat="1" ht="132">
      <c r="B185" s="39" t="s">
        <v>84</v>
      </c>
      <c r="C185" s="39" t="s">
        <v>85</v>
      </c>
      <c r="D185" s="39" t="s">
        <v>301</v>
      </c>
      <c r="E185" s="40">
        <v>3000</v>
      </c>
      <c r="F185" s="39" t="s">
        <v>302</v>
      </c>
      <c r="G185" s="40">
        <v>471</v>
      </c>
      <c r="H185" s="40">
        <v>1620</v>
      </c>
      <c r="I185" s="43" t="s">
        <v>102</v>
      </c>
      <c r="J185" s="43"/>
      <c r="K185" s="40"/>
      <c r="L185" s="7"/>
      <c r="M185" s="7"/>
      <c r="N185" s="7"/>
      <c r="O185" s="7"/>
      <c r="P185" s="7"/>
      <c r="Q185" s="7"/>
      <c r="R185" s="7"/>
      <c r="S185" s="7"/>
      <c r="T185" s="7"/>
      <c r="U185" s="4">
        <f>+P185+Q185+R185+S185+T185</f>
        <v>0</v>
      </c>
      <c r="V185" s="173"/>
      <c r="W185" s="250"/>
      <c r="X185" s="250"/>
    </row>
    <row r="186" spans="2:24" ht="16.5">
      <c r="B186" s="44" t="s">
        <v>240</v>
      </c>
      <c r="C186" s="44"/>
      <c r="D186" s="44"/>
      <c r="E186" s="27">
        <f>SUM(E183:E185)</f>
        <v>8800</v>
      </c>
      <c r="F186" s="44"/>
      <c r="G186" s="27">
        <f>SUM(G183:G185)</f>
        <v>530.7</v>
      </c>
      <c r="H186" s="27">
        <f>SUM(H183:H185)</f>
        <v>2433</v>
      </c>
      <c r="I186" s="44"/>
      <c r="J186" s="44"/>
      <c r="K186" s="27">
        <f>SUM(K183:K185)</f>
        <v>300</v>
      </c>
      <c r="L186" s="27"/>
      <c r="M186" s="27">
        <f>SUM(M183:M185)</f>
        <v>0</v>
      </c>
      <c r="N186" s="27"/>
      <c r="O186" s="27"/>
      <c r="P186" s="27"/>
      <c r="Q186" s="27"/>
      <c r="R186" s="27"/>
      <c r="S186" s="27"/>
      <c r="T186" s="27"/>
      <c r="U186" s="27">
        <f>SUM(U183:U185)</f>
        <v>0</v>
      </c>
      <c r="V186" s="44"/>
      <c r="W186" s="44"/>
      <c r="X186" s="44"/>
    </row>
    <row r="187" spans="2:24" ht="39" customHeight="1">
      <c r="B187" s="316" t="s">
        <v>47</v>
      </c>
      <c r="C187" s="316"/>
      <c r="D187" s="316"/>
      <c r="E187" s="27">
        <f>+E186+E181</f>
        <v>16954.013822</v>
      </c>
      <c r="F187" s="44"/>
      <c r="G187" s="27">
        <f>+G186+G181</f>
        <v>1622.7392499999999</v>
      </c>
      <c r="H187" s="27">
        <f>+H186+H181</f>
        <v>3706.5</v>
      </c>
      <c r="I187" s="44"/>
      <c r="J187" s="44"/>
      <c r="K187" s="27">
        <f>+K186+K181</f>
        <v>1441.92</v>
      </c>
      <c r="L187" s="27"/>
      <c r="M187" s="27">
        <f>+M186+M181</f>
        <v>0</v>
      </c>
      <c r="N187" s="27"/>
      <c r="O187" s="27"/>
      <c r="P187" s="27"/>
      <c r="Q187" s="27"/>
      <c r="R187" s="27"/>
      <c r="S187" s="27"/>
      <c r="T187" s="27"/>
      <c r="U187" s="27">
        <f>+U186+U181</f>
        <v>0</v>
      </c>
      <c r="V187" s="44"/>
      <c r="W187" s="44"/>
      <c r="X187" s="44"/>
    </row>
    <row r="188" spans="2:24" ht="31.5" customHeight="1">
      <c r="B188" s="32" t="s">
        <v>303</v>
      </c>
      <c r="C188" s="77"/>
      <c r="D188" s="77"/>
      <c r="E188" s="77"/>
      <c r="F188" s="77"/>
      <c r="G188" s="77"/>
      <c r="H188" s="77"/>
      <c r="I188" s="77"/>
      <c r="J188" s="77"/>
      <c r="K188" s="77"/>
      <c r="L188" s="77"/>
      <c r="M188" s="77"/>
      <c r="N188" s="77"/>
      <c r="O188" s="77"/>
      <c r="P188" s="77"/>
      <c r="Q188" s="77"/>
      <c r="R188" s="77"/>
      <c r="S188" s="77"/>
      <c r="T188" s="77"/>
      <c r="U188" s="77"/>
      <c r="V188" s="77"/>
      <c r="W188" s="77"/>
      <c r="X188" s="77"/>
    </row>
    <row r="189" spans="1:24" s="74" customFormat="1" ht="19.5" customHeight="1">
      <c r="A189" s="23"/>
      <c r="B189" s="34" t="s">
        <v>407</v>
      </c>
      <c r="C189" s="36"/>
      <c r="D189" s="36"/>
      <c r="E189" s="36"/>
      <c r="F189" s="36"/>
      <c r="G189" s="36"/>
      <c r="H189" s="29"/>
      <c r="I189" s="36"/>
      <c r="J189" s="36"/>
      <c r="K189" s="36"/>
      <c r="L189" s="36"/>
      <c r="M189" s="36"/>
      <c r="N189" s="36"/>
      <c r="O189" s="36"/>
      <c r="P189" s="36"/>
      <c r="Q189" s="36"/>
      <c r="R189" s="36"/>
      <c r="S189" s="36"/>
      <c r="T189" s="36"/>
      <c r="U189" s="36"/>
      <c r="V189" s="36"/>
      <c r="W189" s="36"/>
      <c r="X189" s="36"/>
    </row>
    <row r="190" spans="2:24" s="49" customFormat="1" ht="16.5">
      <c r="B190" s="236"/>
      <c r="C190" s="236"/>
      <c r="D190" s="236"/>
      <c r="E190" s="237"/>
      <c r="F190" s="67"/>
      <c r="G190" s="40"/>
      <c r="H190" s="40"/>
      <c r="I190" s="67"/>
      <c r="J190" s="67"/>
      <c r="K190" s="40"/>
      <c r="L190" s="7"/>
      <c r="M190" s="7"/>
      <c r="N190" s="7"/>
      <c r="O190" s="7"/>
      <c r="P190" s="7"/>
      <c r="Q190" s="7"/>
      <c r="R190" s="7"/>
      <c r="S190" s="7"/>
      <c r="T190" s="7"/>
      <c r="U190" s="4">
        <f>+P190+Q190+R190+S190+T190</f>
        <v>0</v>
      </c>
      <c r="V190" s="5"/>
      <c r="W190" s="169"/>
      <c r="X190" s="5"/>
    </row>
    <row r="191" spans="2:24" s="49" customFormat="1" ht="16.5">
      <c r="B191" s="236"/>
      <c r="C191" s="236"/>
      <c r="D191" s="236"/>
      <c r="E191" s="237"/>
      <c r="F191" s="53"/>
      <c r="G191" s="40"/>
      <c r="H191" s="117"/>
      <c r="I191" s="67"/>
      <c r="J191" s="67"/>
      <c r="K191" s="40"/>
      <c r="L191" s="7"/>
      <c r="M191" s="7"/>
      <c r="N191" s="7"/>
      <c r="O191" s="7"/>
      <c r="P191" s="7"/>
      <c r="Q191" s="7"/>
      <c r="R191" s="7"/>
      <c r="S191" s="7"/>
      <c r="T191" s="7"/>
      <c r="U191" s="4">
        <f>+P191+Q191+R191+S191+T191</f>
        <v>0</v>
      </c>
      <c r="V191" s="5"/>
      <c r="W191" s="169"/>
      <c r="X191" s="5"/>
    </row>
    <row r="192" spans="2:24" ht="26.25" customHeight="1">
      <c r="B192" s="44" t="s">
        <v>240</v>
      </c>
      <c r="C192" s="44"/>
      <c r="D192" s="44"/>
      <c r="E192" s="27">
        <f>SUM(E190:E191)</f>
        <v>0</v>
      </c>
      <c r="F192" s="44"/>
      <c r="G192" s="27">
        <f>SUM(G190:G191)</f>
        <v>0</v>
      </c>
      <c r="H192" s="27">
        <f>SUM(H190:H191)</f>
        <v>0</v>
      </c>
      <c r="I192" s="44"/>
      <c r="J192" s="44"/>
      <c r="K192" s="27">
        <f>SUM(K190:K191)</f>
        <v>0</v>
      </c>
      <c r="L192" s="27"/>
      <c r="M192" s="27">
        <f>SUM(M190:M191)</f>
        <v>0</v>
      </c>
      <c r="N192" s="27"/>
      <c r="O192" s="27"/>
      <c r="P192" s="27"/>
      <c r="Q192" s="27"/>
      <c r="R192" s="27"/>
      <c r="S192" s="27"/>
      <c r="T192" s="27"/>
      <c r="U192" s="27">
        <f>SUM(U190:U191)</f>
        <v>0</v>
      </c>
      <c r="V192" s="44"/>
      <c r="W192" s="44"/>
      <c r="X192" s="44"/>
    </row>
    <row r="193" spans="1:24" s="74" customFormat="1" ht="19.5" customHeight="1">
      <c r="A193" s="23"/>
      <c r="B193" s="34" t="s">
        <v>304</v>
      </c>
      <c r="C193" s="36"/>
      <c r="D193" s="36"/>
      <c r="E193" s="36"/>
      <c r="F193" s="36"/>
      <c r="G193" s="36"/>
      <c r="H193" s="29"/>
      <c r="I193" s="36"/>
      <c r="J193" s="36"/>
      <c r="K193" s="36"/>
      <c r="L193" s="36"/>
      <c r="M193" s="36"/>
      <c r="N193" s="36"/>
      <c r="O193" s="36"/>
      <c r="P193" s="36"/>
      <c r="Q193" s="36"/>
      <c r="R193" s="36"/>
      <c r="S193" s="36"/>
      <c r="T193" s="36"/>
      <c r="U193" s="36"/>
      <c r="V193" s="36"/>
      <c r="W193" s="36"/>
      <c r="X193" s="36"/>
    </row>
    <row r="194" spans="2:24" s="49" customFormat="1" ht="132">
      <c r="B194" s="53" t="s">
        <v>305</v>
      </c>
      <c r="C194" s="53" t="s">
        <v>306</v>
      </c>
      <c r="D194" s="53" t="s">
        <v>307</v>
      </c>
      <c r="E194" s="40">
        <v>4356</v>
      </c>
      <c r="F194" s="67" t="s">
        <v>308</v>
      </c>
      <c r="G194" s="40">
        <v>366.671666</v>
      </c>
      <c r="H194" s="40">
        <v>1670</v>
      </c>
      <c r="I194" s="67" t="s">
        <v>385</v>
      </c>
      <c r="J194" s="67" t="s">
        <v>32</v>
      </c>
      <c r="K194" s="40">
        <v>1192</v>
      </c>
      <c r="L194" s="7"/>
      <c r="M194" s="7"/>
      <c r="N194" s="7"/>
      <c r="O194" s="7"/>
      <c r="P194" s="7"/>
      <c r="Q194" s="7"/>
      <c r="R194" s="7"/>
      <c r="S194" s="7"/>
      <c r="T194" s="7"/>
      <c r="U194" s="4">
        <f>+P194+Q194+R194+S194+T194</f>
        <v>0</v>
      </c>
      <c r="V194" s="5"/>
      <c r="W194" s="169"/>
      <c r="X194" s="5"/>
    </row>
    <row r="195" spans="2:24" s="49" customFormat="1" ht="115.5">
      <c r="B195" s="53" t="s">
        <v>305</v>
      </c>
      <c r="C195" s="53" t="s">
        <v>306</v>
      </c>
      <c r="D195" s="53" t="s">
        <v>348</v>
      </c>
      <c r="E195" s="40">
        <v>588.481658</v>
      </c>
      <c r="F195" s="53" t="s">
        <v>308</v>
      </c>
      <c r="G195" s="40">
        <v>64.930158</v>
      </c>
      <c r="H195" s="117">
        <v>272</v>
      </c>
      <c r="I195" s="67" t="s">
        <v>103</v>
      </c>
      <c r="J195" s="67" t="s">
        <v>349</v>
      </c>
      <c r="K195" s="40">
        <v>145</v>
      </c>
      <c r="L195" s="7"/>
      <c r="M195" s="7"/>
      <c r="N195" s="7"/>
      <c r="O195" s="7"/>
      <c r="P195" s="7"/>
      <c r="Q195" s="7"/>
      <c r="R195" s="7"/>
      <c r="S195" s="7"/>
      <c r="T195" s="7"/>
      <c r="U195" s="4">
        <f>+P195+Q195+R195+S195+T195</f>
        <v>0</v>
      </c>
      <c r="V195" s="5"/>
      <c r="W195" s="169"/>
      <c r="X195" s="5"/>
    </row>
    <row r="196" spans="2:24" ht="26.25" customHeight="1">
      <c r="B196" s="44" t="s">
        <v>240</v>
      </c>
      <c r="C196" s="44"/>
      <c r="D196" s="44"/>
      <c r="E196" s="27">
        <f>SUM(E193:E194)</f>
        <v>4356</v>
      </c>
      <c r="F196" s="44"/>
      <c r="G196" s="27">
        <f>SUM(G193:G194)</f>
        <v>366.671666</v>
      </c>
      <c r="H196" s="27">
        <f>SUM(H193:H194)</f>
        <v>1670</v>
      </c>
      <c r="I196" s="44"/>
      <c r="J196" s="44"/>
      <c r="K196" s="27">
        <f>SUM(K193:K194)</f>
        <v>1192</v>
      </c>
      <c r="L196" s="27"/>
      <c r="M196" s="27">
        <f>SUM(M193:M194)</f>
        <v>0</v>
      </c>
      <c r="N196" s="27"/>
      <c r="O196" s="27"/>
      <c r="P196" s="27"/>
      <c r="Q196" s="27"/>
      <c r="R196" s="27"/>
      <c r="S196" s="27"/>
      <c r="T196" s="27"/>
      <c r="U196" s="27">
        <f>SUM(U193:U194)</f>
        <v>0</v>
      </c>
      <c r="V196" s="44"/>
      <c r="W196" s="44"/>
      <c r="X196" s="44"/>
    </row>
    <row r="197" spans="2:24" ht="26.25" customHeight="1">
      <c r="B197" s="44" t="s">
        <v>297</v>
      </c>
      <c r="C197" s="44"/>
      <c r="D197" s="44"/>
      <c r="E197" s="27">
        <f>+E192+E196</f>
        <v>4356</v>
      </c>
      <c r="F197" s="44"/>
      <c r="G197" s="27">
        <f>+G192+G196</f>
        <v>366.671666</v>
      </c>
      <c r="H197" s="27">
        <f>+H192+H196</f>
        <v>1670</v>
      </c>
      <c r="I197" s="44"/>
      <c r="J197" s="44"/>
      <c r="K197" s="27">
        <f>+K192+K196</f>
        <v>1192</v>
      </c>
      <c r="L197" s="27"/>
      <c r="M197" s="27">
        <f>+M192+M196</f>
        <v>0</v>
      </c>
      <c r="N197" s="27"/>
      <c r="O197" s="27"/>
      <c r="P197" s="27"/>
      <c r="Q197" s="27"/>
      <c r="R197" s="27"/>
      <c r="S197" s="27"/>
      <c r="T197" s="27"/>
      <c r="U197" s="27">
        <f>+U192+U196</f>
        <v>0</v>
      </c>
      <c r="V197" s="44"/>
      <c r="W197" s="44"/>
      <c r="X197" s="44"/>
    </row>
    <row r="198" spans="2:24" ht="31.5" customHeight="1">
      <c r="B198" s="32" t="s">
        <v>406</v>
      </c>
      <c r="C198" s="77"/>
      <c r="D198" s="77"/>
      <c r="E198" s="77"/>
      <c r="F198" s="77"/>
      <c r="G198" s="77"/>
      <c r="H198" s="77"/>
      <c r="I198" s="77"/>
      <c r="J198" s="77"/>
      <c r="K198" s="77"/>
      <c r="L198" s="77"/>
      <c r="M198" s="77"/>
      <c r="N198" s="77"/>
      <c r="O198" s="77"/>
      <c r="P198" s="77"/>
      <c r="Q198" s="77"/>
      <c r="R198" s="77"/>
      <c r="S198" s="77"/>
      <c r="T198" s="77"/>
      <c r="U198" s="77"/>
      <c r="V198" s="77"/>
      <c r="W198" s="77"/>
      <c r="X198" s="77"/>
    </row>
    <row r="199" spans="1:24" s="74" customFormat="1" ht="19.5" customHeight="1">
      <c r="A199" s="23"/>
      <c r="B199" s="34" t="s">
        <v>407</v>
      </c>
      <c r="C199" s="36"/>
      <c r="D199" s="36"/>
      <c r="E199" s="36"/>
      <c r="F199" s="36"/>
      <c r="G199" s="36"/>
      <c r="H199" s="29"/>
      <c r="I199" s="36"/>
      <c r="J199" s="36"/>
      <c r="K199" s="36"/>
      <c r="L199" s="36"/>
      <c r="M199" s="36"/>
      <c r="N199" s="36"/>
      <c r="O199" s="36"/>
      <c r="P199" s="36"/>
      <c r="Q199" s="36"/>
      <c r="R199" s="36"/>
      <c r="S199" s="36"/>
      <c r="T199" s="36"/>
      <c r="U199" s="36"/>
      <c r="V199" s="36"/>
      <c r="W199" s="36"/>
      <c r="X199" s="36"/>
    </row>
    <row r="200" spans="2:24" s="49" customFormat="1" ht="16.5">
      <c r="B200" s="236"/>
      <c r="C200" s="236"/>
      <c r="D200" s="236"/>
      <c r="E200" s="237"/>
      <c r="F200" s="67"/>
      <c r="G200" s="40"/>
      <c r="H200" s="40"/>
      <c r="I200" s="67"/>
      <c r="J200" s="67"/>
      <c r="K200" s="40"/>
      <c r="L200" s="7"/>
      <c r="M200" s="7"/>
      <c r="N200" s="7"/>
      <c r="O200" s="7"/>
      <c r="P200" s="7"/>
      <c r="Q200" s="7"/>
      <c r="R200" s="7"/>
      <c r="S200" s="7"/>
      <c r="T200" s="7"/>
      <c r="U200" s="4">
        <f>+P200+Q200+R200+S200+T200</f>
        <v>0</v>
      </c>
      <c r="V200" s="5"/>
      <c r="W200" s="169"/>
      <c r="X200" s="5"/>
    </row>
    <row r="201" spans="2:24" s="49" customFormat="1" ht="16.5">
      <c r="B201" s="236"/>
      <c r="C201" s="236"/>
      <c r="D201" s="236"/>
      <c r="E201" s="237"/>
      <c r="F201" s="53"/>
      <c r="G201" s="40"/>
      <c r="H201" s="117"/>
      <c r="I201" s="67"/>
      <c r="J201" s="67"/>
      <c r="K201" s="40"/>
      <c r="L201" s="7"/>
      <c r="M201" s="7"/>
      <c r="N201" s="7"/>
      <c r="O201" s="7"/>
      <c r="P201" s="7"/>
      <c r="Q201" s="7"/>
      <c r="R201" s="7"/>
      <c r="S201" s="7"/>
      <c r="T201" s="7"/>
      <c r="U201" s="4">
        <f>+P201+Q201+R201+S201+T201</f>
        <v>0</v>
      </c>
      <c r="V201" s="5"/>
      <c r="W201" s="169"/>
      <c r="X201" s="5"/>
    </row>
    <row r="202" spans="2:24" ht="26.25" customHeight="1">
      <c r="B202" s="44" t="s">
        <v>297</v>
      </c>
      <c r="C202" s="44"/>
      <c r="D202" s="44"/>
      <c r="E202" s="27">
        <f>SUM(E200:E201)</f>
        <v>0</v>
      </c>
      <c r="F202" s="44"/>
      <c r="G202" s="27">
        <f>SUM(G200:G201)</f>
        <v>0</v>
      </c>
      <c r="H202" s="27">
        <f>SUM(H200:H201)</f>
        <v>0</v>
      </c>
      <c r="I202" s="44"/>
      <c r="J202" s="44"/>
      <c r="K202" s="27">
        <f>SUM(K200:K201)</f>
        <v>0</v>
      </c>
      <c r="L202" s="27"/>
      <c r="M202" s="27">
        <f>SUM(M200:M201)</f>
        <v>0</v>
      </c>
      <c r="N202" s="27"/>
      <c r="O202" s="27"/>
      <c r="P202" s="27"/>
      <c r="Q202" s="27"/>
      <c r="R202" s="27"/>
      <c r="S202" s="27"/>
      <c r="T202" s="27"/>
      <c r="U202" s="27">
        <f>SUM(U200:U201)</f>
        <v>0</v>
      </c>
      <c r="V202" s="44"/>
      <c r="W202" s="44"/>
      <c r="X202" s="44"/>
    </row>
    <row r="203" spans="2:24" ht="28.5" customHeight="1">
      <c r="B203" s="32" t="s">
        <v>350</v>
      </c>
      <c r="C203" s="77"/>
      <c r="D203" s="77"/>
      <c r="E203" s="77"/>
      <c r="F203" s="77"/>
      <c r="G203" s="77"/>
      <c r="H203" s="77"/>
      <c r="I203" s="77"/>
      <c r="J203" s="77"/>
      <c r="K203" s="77"/>
      <c r="L203" s="77"/>
      <c r="M203" s="77"/>
      <c r="N203" s="77"/>
      <c r="O203" s="77"/>
      <c r="P203" s="77"/>
      <c r="Q203" s="77"/>
      <c r="R203" s="77"/>
      <c r="S203" s="77"/>
      <c r="T203" s="77"/>
      <c r="U203" s="77"/>
      <c r="V203" s="77"/>
      <c r="W203" s="77"/>
      <c r="X203" s="77"/>
    </row>
    <row r="204" spans="2:24" ht="17.25" customHeight="1">
      <c r="B204" s="34" t="s">
        <v>351</v>
      </c>
      <c r="C204" s="36"/>
      <c r="D204" s="36"/>
      <c r="E204" s="36"/>
      <c r="F204" s="36"/>
      <c r="G204" s="36"/>
      <c r="H204" s="36"/>
      <c r="I204" s="36"/>
      <c r="J204" s="36"/>
      <c r="K204" s="36"/>
      <c r="L204" s="36"/>
      <c r="M204" s="36"/>
      <c r="N204" s="36"/>
      <c r="O204" s="36"/>
      <c r="P204" s="36"/>
      <c r="Q204" s="36"/>
      <c r="R204" s="36"/>
      <c r="S204" s="36"/>
      <c r="T204" s="36"/>
      <c r="U204" s="36"/>
      <c r="V204" s="36"/>
      <c r="W204" s="36"/>
      <c r="X204" s="36"/>
    </row>
    <row r="205" spans="2:24" ht="49.5">
      <c r="B205" s="52" t="s">
        <v>352</v>
      </c>
      <c r="C205" s="52" t="s">
        <v>353</v>
      </c>
      <c r="D205" s="52" t="s">
        <v>354</v>
      </c>
      <c r="E205" s="40">
        <v>480</v>
      </c>
      <c r="F205" s="52">
        <v>392</v>
      </c>
      <c r="G205" s="40"/>
      <c r="H205" s="40">
        <v>65</v>
      </c>
      <c r="I205" s="48" t="s">
        <v>355</v>
      </c>
      <c r="J205" s="48"/>
      <c r="K205" s="48"/>
      <c r="L205" s="8"/>
      <c r="M205" s="8"/>
      <c r="N205" s="8"/>
      <c r="O205" s="8"/>
      <c r="P205" s="8"/>
      <c r="Q205" s="8"/>
      <c r="R205" s="8"/>
      <c r="S205" s="8"/>
      <c r="T205" s="8"/>
      <c r="U205" s="4">
        <f>+P205+Q205+R205+S205+T205</f>
        <v>0</v>
      </c>
      <c r="V205" s="8"/>
      <c r="W205" s="8"/>
      <c r="X205" s="8"/>
    </row>
    <row r="206" spans="2:24" ht="99">
      <c r="B206" s="39" t="s">
        <v>422</v>
      </c>
      <c r="C206" s="39" t="s">
        <v>114</v>
      </c>
      <c r="D206" s="39" t="s">
        <v>252</v>
      </c>
      <c r="E206" s="40">
        <v>1637</v>
      </c>
      <c r="F206" s="39" t="s">
        <v>253</v>
      </c>
      <c r="G206" s="40"/>
      <c r="H206" s="40">
        <f>94+124</f>
        <v>218</v>
      </c>
      <c r="I206" s="48" t="s">
        <v>254</v>
      </c>
      <c r="J206" s="48"/>
      <c r="K206" s="48"/>
      <c r="L206" s="8"/>
      <c r="M206" s="8"/>
      <c r="N206" s="8"/>
      <c r="O206" s="8"/>
      <c r="P206" s="8"/>
      <c r="Q206" s="8"/>
      <c r="R206" s="8"/>
      <c r="S206" s="8"/>
      <c r="T206" s="8"/>
      <c r="U206" s="4">
        <f>+P206+Q206+R206+S206+T206</f>
        <v>0</v>
      </c>
      <c r="V206" s="8"/>
      <c r="W206" s="8"/>
      <c r="X206" s="8"/>
    </row>
    <row r="207" spans="2:24" ht="16.5">
      <c r="B207" s="316" t="s">
        <v>255</v>
      </c>
      <c r="C207" s="316"/>
      <c r="D207" s="316"/>
      <c r="E207" s="27">
        <f>SUM(E205:E206)</f>
        <v>2117</v>
      </c>
      <c r="F207" s="44"/>
      <c r="G207" s="27">
        <f>SUM(G206)</f>
        <v>0</v>
      </c>
      <c r="H207" s="27">
        <f>SUM(H205:H206)</f>
        <v>283</v>
      </c>
      <c r="I207" s="44"/>
      <c r="J207" s="44"/>
      <c r="K207" s="27">
        <f>SUM(K205:K206)</f>
        <v>0</v>
      </c>
      <c r="L207" s="27"/>
      <c r="M207" s="27">
        <f>SUM(M205:M206)</f>
        <v>0</v>
      </c>
      <c r="N207" s="27"/>
      <c r="O207" s="27"/>
      <c r="P207" s="27"/>
      <c r="Q207" s="27"/>
      <c r="R207" s="27"/>
      <c r="S207" s="27"/>
      <c r="T207" s="27"/>
      <c r="U207" s="27">
        <f>SUM(U205:U206)</f>
        <v>0</v>
      </c>
      <c r="V207" s="44"/>
      <c r="W207" s="44"/>
      <c r="X207" s="44"/>
    </row>
    <row r="208" spans="2:24" ht="16.5">
      <c r="B208" s="316" t="s">
        <v>256</v>
      </c>
      <c r="C208" s="316"/>
      <c r="D208" s="316"/>
      <c r="E208" s="27">
        <f>+E207+E197+E187+E170+E153+E119+E68+E22</f>
        <v>11328610.765527397</v>
      </c>
      <c r="F208" s="44"/>
      <c r="G208" s="27">
        <f>+G207+G197+G187+G170+G153+G119+G68+G22</f>
        <v>2044399.1034832557</v>
      </c>
      <c r="H208" s="27">
        <f>+H207+H197+H187+H170+H153+H119+H68+H22</f>
        <v>2205450.2532911142</v>
      </c>
      <c r="I208" s="44"/>
      <c r="J208" s="44"/>
      <c r="K208" s="27">
        <f>+K207+K197+K187+K170+K153+K119+K68+K22</f>
        <v>318900201437.9073</v>
      </c>
      <c r="L208" s="27"/>
      <c r="M208" s="27">
        <f>+M207+M197+M187+M170+M153+M119+M68+M22</f>
        <v>0</v>
      </c>
      <c r="N208" s="27"/>
      <c r="O208" s="27"/>
      <c r="P208" s="27"/>
      <c r="Q208" s="27"/>
      <c r="R208" s="27"/>
      <c r="S208" s="27"/>
      <c r="T208" s="27"/>
      <c r="U208" s="27">
        <f>+U207+U197+U187+U170+U153+U119+U68+U22</f>
        <v>0</v>
      </c>
      <c r="V208" s="44"/>
      <c r="W208" s="44"/>
      <c r="X208" s="44"/>
    </row>
  </sheetData>
  <sheetProtection sheet="1" autoFilter="0"/>
  <protectedRanges>
    <protectedRange sqref="F200:K201" name="Rango7"/>
    <protectedRange sqref="F167:K168" name="Rango5"/>
    <protectedRange sqref="F163:K164" name="Rango4"/>
    <protectedRange sqref="F159:K160" name="Rango3"/>
    <protectedRange sqref="L9:L208 N9:T208 M9:M152 M154:M208" name="Rango1"/>
    <protectedRange sqref="V9:X206" name="Rango2"/>
    <protectedRange sqref="F190:K191" name="Rango6"/>
  </protectedRanges>
  <autoFilter ref="A5:X5"/>
  <mergeCells count="69">
    <mergeCell ref="B58:B59"/>
    <mergeCell ref="C58:C59"/>
    <mergeCell ref="F179:F180"/>
    <mergeCell ref="F174:F177"/>
    <mergeCell ref="B119:D119"/>
    <mergeCell ref="B108:C108"/>
    <mergeCell ref="B118:C118"/>
    <mergeCell ref="B140:B141"/>
    <mergeCell ref="C140:C141"/>
    <mergeCell ref="B208:D208"/>
    <mergeCell ref="B207:D207"/>
    <mergeCell ref="B174:B177"/>
    <mergeCell ref="B181:D181"/>
    <mergeCell ref="D175:D176"/>
    <mergeCell ref="C179:C180"/>
    <mergeCell ref="C174:C177"/>
    <mergeCell ref="B187:D187"/>
    <mergeCell ref="B179:B180"/>
    <mergeCell ref="B64:B66"/>
    <mergeCell ref="D140:D141"/>
    <mergeCell ref="B150:B151"/>
    <mergeCell ref="C150:C151"/>
    <mergeCell ref="D150:D151"/>
    <mergeCell ref="C64:C66"/>
    <mergeCell ref="D64:D66"/>
    <mergeCell ref="E58:E59"/>
    <mergeCell ref="E11:E12"/>
    <mergeCell ref="B22:D22"/>
    <mergeCell ref="B60:B61"/>
    <mergeCell ref="D58:D59"/>
    <mergeCell ref="B13:B15"/>
    <mergeCell ref="E13:E15"/>
    <mergeCell ref="D16:D17"/>
    <mergeCell ref="C16:C17"/>
    <mergeCell ref="B16:B17"/>
    <mergeCell ref="C11:C12"/>
    <mergeCell ref="C13:C15"/>
    <mergeCell ref="F4:F5"/>
    <mergeCell ref="G4:G5"/>
    <mergeCell ref="H4:H5"/>
    <mergeCell ref="I4:I5"/>
    <mergeCell ref="D11:D12"/>
    <mergeCell ref="E150:E151"/>
    <mergeCell ref="B1:V1"/>
    <mergeCell ref="C9:C10"/>
    <mergeCell ref="E9:E10"/>
    <mergeCell ref="B3:F3"/>
    <mergeCell ref="H3:I3"/>
    <mergeCell ref="B9:B10"/>
    <mergeCell ref="B11:B12"/>
    <mergeCell ref="E16:E17"/>
    <mergeCell ref="J3:K3"/>
    <mergeCell ref="B4:B5"/>
    <mergeCell ref="C4:C5"/>
    <mergeCell ref="D4:D5"/>
    <mergeCell ref="E4:E5"/>
    <mergeCell ref="W3:X3"/>
    <mergeCell ref="O3:V3"/>
    <mergeCell ref="J4:J5"/>
    <mergeCell ref="K4:K5"/>
    <mergeCell ref="L3:N3"/>
    <mergeCell ref="V4:V5"/>
    <mergeCell ref="W4:W5"/>
    <mergeCell ref="X4:X5"/>
    <mergeCell ref="P4:U4"/>
    <mergeCell ref="L4:L5"/>
    <mergeCell ref="M4:M5"/>
    <mergeCell ref="N4:N5"/>
    <mergeCell ref="O4:O5"/>
  </mergeCells>
  <printOptions horizontalCentered="1"/>
  <pageMargins left="0.1968503937007874" right="0.15748031496062992" top="0.2362204724409449" bottom="0.5511811023622047" header="0" footer="0"/>
  <pageSetup fitToWidth="20" horizontalDpi="600" verticalDpi="600" orientation="landscape" scale="45" r:id="rId4"/>
  <drawing r:id="rId3"/>
  <legacyDrawing r:id="rId2"/>
</worksheet>
</file>

<file path=xl/worksheets/sheet5.xml><?xml version="1.0" encoding="utf-8"?>
<worksheet xmlns="http://schemas.openxmlformats.org/spreadsheetml/2006/main" xmlns:r="http://schemas.openxmlformats.org/officeDocument/2006/relationships">
  <dimension ref="B3:E13"/>
  <sheetViews>
    <sheetView showGridLines="0" zoomScalePageLayoutView="0" workbookViewId="0" topLeftCell="A1">
      <selection activeCell="A1" sqref="A1"/>
    </sheetView>
  </sheetViews>
  <sheetFormatPr defaultColWidth="11.421875" defaultRowHeight="15"/>
  <cols>
    <col min="2" max="2" width="15.28125" style="0" customWidth="1"/>
    <col min="3" max="3" width="16.7109375" style="0" customWidth="1"/>
    <col min="4" max="4" width="16.8515625" style="0" customWidth="1"/>
    <col min="5" max="5" width="21.8515625" style="0" customWidth="1"/>
  </cols>
  <sheetData>
    <row r="2" ht="15.75" thickBot="1"/>
    <row r="3" spans="2:5" ht="18.75">
      <c r="B3" s="321" t="s">
        <v>567</v>
      </c>
      <c r="C3" s="322"/>
      <c r="D3" s="322"/>
      <c r="E3" s="323"/>
    </row>
    <row r="4" spans="2:5" ht="15">
      <c r="B4" s="122"/>
      <c r="C4" s="1"/>
      <c r="D4" s="1"/>
      <c r="E4" s="123"/>
    </row>
    <row r="5" spans="2:5" ht="47.25" customHeight="1">
      <c r="B5" s="324" t="s">
        <v>174</v>
      </c>
      <c r="C5" s="325"/>
      <c r="D5" s="325"/>
      <c r="E5" s="326"/>
    </row>
    <row r="6" spans="2:5" ht="210" customHeight="1">
      <c r="B6" s="327" t="s">
        <v>568</v>
      </c>
      <c r="C6" s="328"/>
      <c r="D6" s="328"/>
      <c r="E6" s="329"/>
    </row>
    <row r="7" spans="2:5" ht="197.25" customHeight="1" thickBot="1">
      <c r="B7" s="330" t="s">
        <v>293</v>
      </c>
      <c r="C7" s="331"/>
      <c r="D7" s="331"/>
      <c r="E7" s="332"/>
    </row>
    <row r="8" spans="2:5" ht="45">
      <c r="B8" s="124" t="s">
        <v>292</v>
      </c>
      <c r="C8" s="124"/>
      <c r="D8" s="124"/>
      <c r="E8" s="124"/>
    </row>
    <row r="9" spans="2:5" ht="15">
      <c r="B9" s="124"/>
      <c r="C9" s="124"/>
      <c r="D9" s="124"/>
      <c r="E9" s="124"/>
    </row>
    <row r="10" spans="2:5" ht="15">
      <c r="B10" s="124"/>
      <c r="C10" s="124"/>
      <c r="D10" s="124"/>
      <c r="E10" s="124"/>
    </row>
    <row r="11" spans="2:5" ht="15">
      <c r="B11" s="124"/>
      <c r="C11" s="124"/>
      <c r="D11" s="124"/>
      <c r="E11" s="124"/>
    </row>
    <row r="12" spans="2:5" ht="15">
      <c r="B12" s="124"/>
      <c r="C12" s="124"/>
      <c r="D12" s="124"/>
      <c r="E12" s="124"/>
    </row>
    <row r="13" spans="2:5" ht="15">
      <c r="B13" s="124"/>
      <c r="C13" s="124"/>
      <c r="D13" s="124"/>
      <c r="E13" s="124"/>
    </row>
  </sheetData>
  <sheetProtection/>
  <mergeCells count="4">
    <mergeCell ref="B3:E3"/>
    <mergeCell ref="B5:E5"/>
    <mergeCell ref="B6:E6"/>
    <mergeCell ref="B7:E7"/>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Jeanet Constanza Saenz Gonzalez</cp:lastModifiedBy>
  <cp:lastPrinted>2010-09-01T15:04:16Z</cp:lastPrinted>
  <dcterms:created xsi:type="dcterms:W3CDTF">2010-01-21T16:10:56Z</dcterms:created>
  <dcterms:modified xsi:type="dcterms:W3CDTF">2013-12-04T13:42:36Z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